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Default Extension="vml" ContentType="application/vnd.openxmlformats-officedocument.vmlDrawing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0" yWindow="0" windowWidth="20730" windowHeight="11760" tabRatio="953"/>
  </bookViews>
  <sheets>
    <sheet name="Панельные ограждения Optima" sheetId="136" r:id="rId1"/>
    <sheet name="Панельные ограждения GL (стр.1)" sheetId="138" r:id="rId2"/>
    <sheet name="Панельные ограждения GL (стр.2)" sheetId="139" r:id="rId3"/>
    <sheet name="Эл-ты панельных ограждений - 1" sheetId="125" r:id="rId4"/>
    <sheet name="Эл-ты панельных ограждений - 2" sheetId="137" r:id="rId5"/>
    <sheet name="Распашные ворота и калитки" sheetId="127" r:id="rId6"/>
    <sheet name="Откатные ворота" sheetId="126" r:id="rId7"/>
    <sheet name="Модульные ограждения GL" sheetId="68" r:id="rId8"/>
    <sheet name="Времен.огражд.+Рулон+Штакетник" sheetId="119" r:id="rId9"/>
    <sheet name="Шлагбаумы" sheetId="140" r:id="rId10"/>
    <sheet name="Locinox" sheetId="133" r:id="rId11"/>
  </sheets>
  <definedNames>
    <definedName name="Print_Area" localSheetId="8">'Времен.огражд.+Рулон+Штакетник'!$A$1:$N$57</definedName>
    <definedName name="Print_Area" localSheetId="5">'Распашные ворота и калитки'!$A$1:$Q$59</definedName>
    <definedName name="_xlnm.Print_Area" localSheetId="10">Locinox!$A$1:$I$61</definedName>
    <definedName name="_xlnm.Print_Area" localSheetId="8">'Времен.огражд.+Рулон+Штакетник'!$A$1:$N$59</definedName>
    <definedName name="_xlnm.Print_Area" localSheetId="7">'Модульные ограждения GL'!$A$1:$P$62</definedName>
    <definedName name="_xlnm.Print_Area" localSheetId="6">'Откатные ворота'!$A$1:$Q$39</definedName>
    <definedName name="_xlnm.Print_Area" localSheetId="1">'Панельные ограждения GL (стр.1)'!$A$1:$L$70</definedName>
    <definedName name="_xlnm.Print_Area" localSheetId="2">'Панельные ограждения GL (стр.2)'!$A$1:$L$48</definedName>
    <definedName name="_xlnm.Print_Area" localSheetId="0">'Панельные ограждения Optima'!$A$1:$H$41</definedName>
    <definedName name="_xlnm.Print_Area" localSheetId="5">'Распашные ворота и калитки'!$A$1:$R$60</definedName>
    <definedName name="_xlnm.Print_Area" localSheetId="9">Шлагбаумы!$A$1:$L$24</definedName>
    <definedName name="_xlnm.Print_Area" localSheetId="3">'Эл-ты панельных ограждений - 1'!$A$1:$I$67</definedName>
    <definedName name="_xlnm.Print_Area" localSheetId="4">'Эл-ты панельных ограждений - 2'!$A$1:$G$53</definedName>
  </definedNames>
  <calcPr calcId="125725"/>
</workbook>
</file>

<file path=xl/calcChain.xml><?xml version="1.0" encoding="utf-8"?>
<calcChain xmlns="http://schemas.openxmlformats.org/spreadsheetml/2006/main">
  <c r="L36" i="119"/>
  <c r="K36"/>
  <c r="I54" i="125" l="1"/>
  <c r="G4" i="137"/>
  <c r="G13"/>
  <c r="G12"/>
  <c r="G11"/>
  <c r="G10"/>
  <c r="G9"/>
  <c r="G8"/>
  <c r="G7"/>
  <c r="G6"/>
  <c r="G5"/>
  <c r="K17" i="119" l="1"/>
  <c r="O23" i="126" l="1"/>
  <c r="L23"/>
  <c r="O21"/>
  <c r="L21"/>
  <c r="Q26"/>
  <c r="F17"/>
  <c r="F16"/>
  <c r="F15"/>
  <c r="E17"/>
  <c r="E16"/>
  <c r="E15"/>
  <c r="J35"/>
  <c r="J34"/>
  <c r="Q30"/>
  <c r="Q29"/>
  <c r="Q28"/>
  <c r="K26" i="119"/>
  <c r="M25"/>
  <c r="K41" l="1"/>
  <c r="K28"/>
  <c r="K27"/>
  <c r="M24"/>
  <c r="R15" l="1"/>
  <c r="R16"/>
  <c r="R13"/>
  <c r="R14"/>
  <c r="Q11" i="126" l="1"/>
  <c r="P11"/>
  <c r="O11"/>
  <c r="N11"/>
  <c r="M11"/>
  <c r="L11"/>
  <c r="K11"/>
  <c r="J11"/>
  <c r="I11"/>
  <c r="H11"/>
  <c r="G11"/>
  <c r="I48" i="133" l="1"/>
  <c r="H20" i="136" l="1"/>
  <c r="H19"/>
  <c r="G42" i="137" l="1"/>
  <c r="L20" i="140" l="1"/>
  <c r="L19"/>
  <c r="L18"/>
  <c r="L16"/>
  <c r="L15"/>
  <c r="L11"/>
  <c r="L10"/>
  <c r="L9"/>
  <c r="L7"/>
  <c r="L6"/>
  <c r="L5"/>
  <c r="I55" i="125" l="1"/>
  <c r="K24" i="119" l="1"/>
  <c r="I49" i="68"/>
  <c r="I50"/>
  <c r="I51"/>
  <c r="I52"/>
  <c r="I41" i="133" l="1"/>
  <c r="I37"/>
  <c r="I58" l="1"/>
  <c r="I57"/>
  <c r="I56"/>
  <c r="I55"/>
  <c r="I54"/>
  <c r="I53"/>
  <c r="I52"/>
  <c r="I51"/>
  <c r="I49"/>
  <c r="I50"/>
  <c r="I47"/>
  <c r="I46"/>
  <c r="I45"/>
  <c r="I44"/>
  <c r="I43"/>
  <c r="I42"/>
  <c r="I36"/>
  <c r="I35"/>
  <c r="I31"/>
  <c r="J26" i="126" s="1"/>
  <c r="I26" i="133"/>
  <c r="I25"/>
  <c r="I21"/>
  <c r="I19"/>
  <c r="I15"/>
  <c r="I14"/>
  <c r="I10"/>
  <c r="I9"/>
  <c r="I5"/>
  <c r="F7" i="127" l="1"/>
  <c r="F6" l="1"/>
  <c r="F5"/>
  <c r="F15" l="1"/>
  <c r="J7" l="1"/>
  <c r="I7"/>
  <c r="L7" l="1"/>
  <c r="H7"/>
  <c r="K21" i="119" l="1"/>
  <c r="I52" i="125" l="1"/>
  <c r="G14" i="137"/>
  <c r="G15"/>
  <c r="H30" i="139" l="1"/>
  <c r="G30"/>
  <c r="H29"/>
  <c r="G29"/>
  <c r="R33"/>
  <c r="Q33"/>
  <c r="H28"/>
  <c r="G28"/>
  <c r="Q32"/>
  <c r="P32"/>
  <c r="O32"/>
  <c r="H27"/>
  <c r="G27"/>
  <c r="R31"/>
  <c r="Q31"/>
  <c r="P31"/>
  <c r="O31"/>
  <c r="H26"/>
  <c r="G26"/>
  <c r="H25"/>
  <c r="G25"/>
  <c r="R30"/>
  <c r="Q30"/>
  <c r="P30"/>
  <c r="O30"/>
  <c r="H24"/>
  <c r="G24"/>
  <c r="Q29"/>
  <c r="P29"/>
  <c r="O29"/>
  <c r="H23"/>
  <c r="G23"/>
  <c r="R28"/>
  <c r="Q28"/>
  <c r="P28"/>
  <c r="O28"/>
  <c r="H22"/>
  <c r="G22"/>
  <c r="Q27"/>
  <c r="P27"/>
  <c r="O27"/>
  <c r="H21"/>
  <c r="G21"/>
  <c r="Q26"/>
  <c r="P26"/>
  <c r="O26"/>
  <c r="H20"/>
  <c r="G20"/>
  <c r="Q25"/>
  <c r="P25"/>
  <c r="O25"/>
  <c r="H19"/>
  <c r="G19"/>
  <c r="Q24"/>
  <c r="P24"/>
  <c r="O24"/>
  <c r="H18"/>
  <c r="G18"/>
  <c r="Q23"/>
  <c r="P23"/>
  <c r="O23"/>
  <c r="Q22"/>
  <c r="P22"/>
  <c r="O22"/>
  <c r="Q21"/>
  <c r="P21"/>
  <c r="O21"/>
  <c r="H17"/>
  <c r="G17"/>
  <c r="Q20"/>
  <c r="P20"/>
  <c r="O20"/>
  <c r="H16"/>
  <c r="G16"/>
  <c r="Q19"/>
  <c r="P19"/>
  <c r="O19"/>
  <c r="H15"/>
  <c r="G15"/>
  <c r="Q18"/>
  <c r="P18"/>
  <c r="O18"/>
  <c r="H14"/>
  <c r="G14"/>
  <c r="R17"/>
  <c r="Q17"/>
  <c r="P17"/>
  <c r="O17"/>
  <c r="H13"/>
  <c r="G13"/>
  <c r="R16"/>
  <c r="Q16"/>
  <c r="P16"/>
  <c r="O16"/>
  <c r="H12"/>
  <c r="G12"/>
  <c r="R15"/>
  <c r="Q15"/>
  <c r="P15"/>
  <c r="O15"/>
  <c r="Q14"/>
  <c r="P14"/>
  <c r="O14"/>
  <c r="H11"/>
  <c r="G11"/>
  <c r="Q13"/>
  <c r="P13"/>
  <c r="O13"/>
  <c r="H10"/>
  <c r="G10"/>
  <c r="Q12"/>
  <c r="P12"/>
  <c r="O12"/>
  <c r="Q11"/>
  <c r="P11"/>
  <c r="O11"/>
  <c r="H9"/>
  <c r="G9"/>
  <c r="Q10"/>
  <c r="P10"/>
  <c r="O10"/>
  <c r="H8"/>
  <c r="G8"/>
  <c r="Q9"/>
  <c r="P9"/>
  <c r="O9"/>
  <c r="H7"/>
  <c r="G7"/>
  <c r="Q8"/>
  <c r="P8"/>
  <c r="O8"/>
  <c r="H6"/>
  <c r="G6"/>
  <c r="Q7"/>
  <c r="P7"/>
  <c r="O7"/>
  <c r="H5"/>
  <c r="G5"/>
  <c r="Q6"/>
  <c r="P6"/>
  <c r="O6"/>
  <c r="Q5"/>
  <c r="P5"/>
  <c r="O5"/>
  <c r="R4"/>
  <c r="Q4"/>
  <c r="P4"/>
  <c r="O4"/>
  <c r="K17" i="138"/>
  <c r="K1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W16" i="119" s="1"/>
  <c r="H25" i="138"/>
  <c r="H24"/>
  <c r="W15" i="119" s="1"/>
  <c r="G53" i="138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O22" l="1"/>
  <c r="P22"/>
  <c r="Q22"/>
  <c r="O23"/>
  <c r="P23"/>
  <c r="Q23"/>
  <c r="O24"/>
  <c r="P24"/>
  <c r="Q24"/>
  <c r="O25"/>
  <c r="P25"/>
  <c r="Q25"/>
  <c r="O26"/>
  <c r="P26"/>
  <c r="Q26"/>
  <c r="O27"/>
  <c r="P27"/>
  <c r="Q27"/>
  <c r="O28"/>
  <c r="P28"/>
  <c r="Q28"/>
  <c r="O29"/>
  <c r="P29"/>
  <c r="Q29"/>
  <c r="O30"/>
  <c r="P30"/>
  <c r="Q30"/>
  <c r="R30"/>
  <c r="O31"/>
  <c r="P31"/>
  <c r="Q31"/>
  <c r="O32"/>
  <c r="P32"/>
  <c r="Q32"/>
  <c r="R32"/>
  <c r="O33"/>
  <c r="P33"/>
  <c r="Q33"/>
  <c r="O34"/>
  <c r="P34"/>
  <c r="Q34"/>
  <c r="R34"/>
  <c r="O35"/>
  <c r="P35"/>
  <c r="Q35"/>
  <c r="Q36"/>
  <c r="R36"/>
  <c r="H23"/>
  <c r="H22"/>
  <c r="H21"/>
  <c r="H20"/>
  <c r="H19"/>
  <c r="H18"/>
  <c r="H17"/>
  <c r="H16"/>
  <c r="H15"/>
  <c r="H14"/>
  <c r="H13"/>
  <c r="H12"/>
  <c r="H11"/>
  <c r="H10"/>
  <c r="H9"/>
  <c r="W14" i="119" s="1"/>
  <c r="H8" i="138"/>
  <c r="H7"/>
  <c r="W13" i="119" s="1"/>
  <c r="G23" i="138"/>
  <c r="G22"/>
  <c r="G21"/>
  <c r="G20"/>
  <c r="G19"/>
  <c r="G18"/>
  <c r="G17"/>
  <c r="G16"/>
  <c r="G15"/>
  <c r="G14"/>
  <c r="G13"/>
  <c r="G12"/>
  <c r="G11"/>
  <c r="G10"/>
  <c r="G9"/>
  <c r="G8"/>
  <c r="G7"/>
  <c r="Q21"/>
  <c r="P21"/>
  <c r="O21"/>
  <c r="Q20"/>
  <c r="P20"/>
  <c r="O20"/>
  <c r="R19"/>
  <c r="Q19"/>
  <c r="P19"/>
  <c r="O19"/>
  <c r="R18"/>
  <c r="Q18"/>
  <c r="P18"/>
  <c r="O18"/>
  <c r="R17"/>
  <c r="Q17"/>
  <c r="P17"/>
  <c r="O17"/>
  <c r="Q16"/>
  <c r="P16"/>
  <c r="O16"/>
  <c r="Q15"/>
  <c r="P15"/>
  <c r="O15"/>
  <c r="Q14"/>
  <c r="P14"/>
  <c r="O14"/>
  <c r="Q13"/>
  <c r="P13"/>
  <c r="O13"/>
  <c r="Q12"/>
  <c r="P12"/>
  <c r="O12"/>
  <c r="Q11"/>
  <c r="P11"/>
  <c r="O11"/>
  <c r="Q10"/>
  <c r="P10"/>
  <c r="O10"/>
  <c r="Q9"/>
  <c r="P9"/>
  <c r="O9"/>
  <c r="Q8"/>
  <c r="P8"/>
  <c r="O8"/>
  <c r="Q7"/>
  <c r="P7"/>
  <c r="O7"/>
  <c r="R6"/>
  <c r="Q6"/>
  <c r="P6"/>
  <c r="O6"/>
  <c r="R26" i="127" l="1"/>
  <c r="R25"/>
  <c r="R24"/>
  <c r="R23"/>
  <c r="R20"/>
  <c r="R17"/>
  <c r="F16"/>
  <c r="F12"/>
  <c r="K40" i="119"/>
  <c r="L40"/>
  <c r="L39"/>
  <c r="K39"/>
  <c r="K38"/>
  <c r="L38"/>
  <c r="L37"/>
  <c r="K37"/>
  <c r="M35"/>
  <c r="M34"/>
  <c r="M33"/>
  <c r="G41" i="137" l="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I47" i="125"/>
  <c r="I48"/>
  <c r="I39"/>
  <c r="I37"/>
  <c r="I33"/>
  <c r="I29"/>
  <c r="W26" i="119" s="1"/>
  <c r="I46" i="125"/>
  <c r="I27"/>
  <c r="I22"/>
  <c r="I21"/>
  <c r="I17"/>
  <c r="I15"/>
  <c r="I11"/>
  <c r="I7"/>
  <c r="I5"/>
  <c r="S17" i="139" l="1"/>
  <c r="S19" i="138"/>
  <c r="W18" i="119"/>
  <c r="S32" i="139"/>
  <c r="S31"/>
  <c r="S34" i="138"/>
  <c r="S4" i="139"/>
  <c r="S6" i="138"/>
  <c r="S15" i="139"/>
  <c r="S17" i="138"/>
  <c r="H27" i="136"/>
  <c r="H17"/>
  <c r="H16"/>
  <c r="H13"/>
  <c r="H9" l="1"/>
  <c r="H8"/>
  <c r="H7"/>
  <c r="H28"/>
  <c r="H25"/>
  <c r="H24"/>
  <c r="H23"/>
  <c r="H21"/>
  <c r="H18"/>
  <c r="H15"/>
  <c r="H14"/>
  <c r="H22"/>
  <c r="K18" i="119"/>
  <c r="T21"/>
  <c r="U21"/>
  <c r="W21"/>
  <c r="T22"/>
  <c r="W22"/>
  <c r="I41" i="125"/>
  <c r="T19" i="119"/>
  <c r="S18"/>
  <c r="S19"/>
  <c r="R19"/>
  <c r="T18"/>
  <c r="V34"/>
  <c r="T34"/>
  <c r="S34"/>
  <c r="R34"/>
  <c r="V12"/>
  <c r="T12"/>
  <c r="S12"/>
  <c r="R12"/>
  <c r="V11"/>
  <c r="T11"/>
  <c r="S11"/>
  <c r="R11"/>
  <c r="V10"/>
  <c r="V9"/>
  <c r="T10"/>
  <c r="T9"/>
  <c r="S9"/>
  <c r="R10"/>
  <c r="R9"/>
  <c r="H54" i="127"/>
  <c r="F52"/>
  <c r="H48"/>
  <c r="H47"/>
  <c r="F46"/>
  <c r="F45"/>
  <c r="H41"/>
  <c r="H40"/>
  <c r="H39"/>
  <c r="H38"/>
  <c r="F41"/>
  <c r="F40"/>
  <c r="F39"/>
  <c r="F38"/>
  <c r="H34"/>
  <c r="H33"/>
  <c r="H32"/>
  <c r="H31"/>
  <c r="F34"/>
  <c r="F33"/>
  <c r="F32"/>
  <c r="F31"/>
  <c r="R29"/>
  <c r="G16"/>
  <c r="G15"/>
  <c r="G14"/>
  <c r="G13"/>
  <c r="G12"/>
  <c r="F14"/>
  <c r="F13"/>
  <c r="R31"/>
  <c r="I26"/>
  <c r="I25"/>
  <c r="I24"/>
  <c r="I23"/>
  <c r="I22"/>
  <c r="I21"/>
  <c r="I20"/>
  <c r="I19"/>
  <c r="H8"/>
  <c r="H6"/>
  <c r="H5"/>
  <c r="R8"/>
  <c r="Q8"/>
  <c r="P8"/>
  <c r="O8"/>
  <c r="N8"/>
  <c r="M8"/>
  <c r="L8"/>
  <c r="K8"/>
  <c r="J8"/>
  <c r="R7"/>
  <c r="Q7"/>
  <c r="P7"/>
  <c r="O7"/>
  <c r="N7"/>
  <c r="M7"/>
  <c r="K7"/>
  <c r="R6"/>
  <c r="Q6"/>
  <c r="P6"/>
  <c r="O6"/>
  <c r="N6"/>
  <c r="M6"/>
  <c r="L6"/>
  <c r="K6"/>
  <c r="J6"/>
  <c r="R5"/>
  <c r="Q5"/>
  <c r="P5"/>
  <c r="O5"/>
  <c r="N5"/>
  <c r="M5"/>
  <c r="L5"/>
  <c r="K5"/>
  <c r="J5"/>
  <c r="I8"/>
  <c r="I6"/>
  <c r="I5"/>
  <c r="F8"/>
  <c r="G8"/>
  <c r="G7"/>
  <c r="G6"/>
  <c r="G5"/>
  <c r="I7" i="119"/>
  <c r="I6"/>
  <c r="I5"/>
  <c r="I48" i="68"/>
  <c r="I47"/>
  <c r="I46"/>
  <c r="W34" i="119" s="1"/>
  <c r="I45" i="68"/>
  <c r="I44"/>
  <c r="W12" i="119" s="1"/>
  <c r="I43" i="68"/>
  <c r="I42"/>
  <c r="I41"/>
  <c r="I40"/>
  <c r="W10" i="119" s="1"/>
  <c r="I39" i="68"/>
  <c r="W9" i="119" s="1"/>
  <c r="I38" i="68"/>
  <c r="I37"/>
  <c r="W11" i="119" s="1"/>
  <c r="I36" i="68"/>
  <c r="I35"/>
  <c r="I34"/>
  <c r="I33"/>
  <c r="I32"/>
  <c r="W33" i="119" s="1"/>
  <c r="I31" i="68"/>
  <c r="I30"/>
  <c r="W32" i="119" s="1"/>
  <c r="I29" i="68"/>
  <c r="I28"/>
  <c r="W29" i="119" s="1"/>
  <c r="I27" i="68"/>
  <c r="W27" i="119" s="1"/>
  <c r="I26" i="68"/>
  <c r="I25"/>
  <c r="I24"/>
  <c r="I23"/>
  <c r="I22"/>
  <c r="I21"/>
  <c r="I60" i="125"/>
  <c r="I59"/>
  <c r="I58"/>
  <c r="I57"/>
  <c r="I56"/>
  <c r="I53"/>
  <c r="V21" i="119" s="1"/>
  <c r="I51" i="125"/>
  <c r="I50"/>
  <c r="I49"/>
  <c r="S35" i="138" s="1"/>
  <c r="I45" i="125"/>
  <c r="I44"/>
  <c r="I43"/>
  <c r="S33" i="138" s="1"/>
  <c r="I42" i="125"/>
  <c r="I40"/>
  <c r="I38"/>
  <c r="I36"/>
  <c r="I35"/>
  <c r="I34"/>
  <c r="I32"/>
  <c r="I31"/>
  <c r="I30"/>
  <c r="I28"/>
  <c r="I26"/>
  <c r="W24" i="119" s="1"/>
  <c r="I25" i="125"/>
  <c r="I24"/>
  <c r="I23"/>
  <c r="I20"/>
  <c r="I19"/>
  <c r="I18"/>
  <c r="I16"/>
  <c r="I14"/>
  <c r="I13"/>
  <c r="I12"/>
  <c r="I10"/>
  <c r="I9"/>
  <c r="I8"/>
  <c r="I6"/>
  <c r="I4"/>
  <c r="W23" i="119" s="1"/>
  <c r="K20"/>
  <c r="K16"/>
  <c r="K19"/>
  <c r="Q10" i="126"/>
  <c r="P10"/>
  <c r="O10"/>
  <c r="N10"/>
  <c r="M10"/>
  <c r="L10"/>
  <c r="K10"/>
  <c r="J10"/>
  <c r="I10"/>
  <c r="H10"/>
  <c r="G10"/>
  <c r="F10"/>
  <c r="E10"/>
  <c r="Q9"/>
  <c r="P9"/>
  <c r="O9"/>
  <c r="N9"/>
  <c r="M9"/>
  <c r="L9"/>
  <c r="K9"/>
  <c r="J9"/>
  <c r="I9"/>
  <c r="H9"/>
  <c r="G9"/>
  <c r="F9"/>
  <c r="E9"/>
  <c r="Q8"/>
  <c r="P8"/>
  <c r="O8"/>
  <c r="N8"/>
  <c r="M8"/>
  <c r="L8"/>
  <c r="K8"/>
  <c r="J8"/>
  <c r="I8"/>
  <c r="H8"/>
  <c r="G8"/>
  <c r="F8"/>
  <c r="E8"/>
  <c r="Q7"/>
  <c r="P7"/>
  <c r="O7"/>
  <c r="N7"/>
  <c r="M7"/>
  <c r="L7"/>
  <c r="K7"/>
  <c r="J7"/>
  <c r="I7"/>
  <c r="H7"/>
  <c r="G7"/>
  <c r="F7"/>
  <c r="E7"/>
  <c r="Q6"/>
  <c r="P6"/>
  <c r="O6"/>
  <c r="N6"/>
  <c r="M6"/>
  <c r="L6"/>
  <c r="K6"/>
  <c r="J6"/>
  <c r="I6"/>
  <c r="H6"/>
  <c r="G6"/>
  <c r="F6"/>
  <c r="E6"/>
  <c r="Q5"/>
  <c r="P5"/>
  <c r="O5"/>
  <c r="N5"/>
  <c r="M5"/>
  <c r="L5"/>
  <c r="K5"/>
  <c r="J5"/>
  <c r="I5"/>
  <c r="H5"/>
  <c r="G5"/>
  <c r="F5"/>
  <c r="E5"/>
  <c r="W19" i="119"/>
  <c r="K11" l="1"/>
  <c r="K10"/>
  <c r="M11" i="68"/>
  <c r="S5" i="139"/>
  <c r="S7" i="138"/>
  <c r="S7" i="139"/>
  <c r="S9" i="138"/>
  <c r="S9" i="139"/>
  <c r="S11" i="138"/>
  <c r="S11" i="139"/>
  <c r="S13" i="138"/>
  <c r="S13" i="139"/>
  <c r="S15" i="138"/>
  <c r="S28" i="139"/>
  <c r="S30" i="138"/>
  <c r="S19" i="139"/>
  <c r="S21" i="138"/>
  <c r="S21" i="139"/>
  <c r="S23" i="138"/>
  <c r="S23" i="139"/>
  <c r="S25" i="138"/>
  <c r="S25" i="139"/>
  <c r="S27" i="138"/>
  <c r="S30" i="139"/>
  <c r="S32" i="138"/>
  <c r="S6" i="139"/>
  <c r="S8" i="138"/>
  <c r="S8" i="139"/>
  <c r="S10" i="138"/>
  <c r="S10" i="139"/>
  <c r="S12" i="138"/>
  <c r="S12" i="139"/>
  <c r="S14" i="138"/>
  <c r="S14" i="139"/>
  <c r="S16" i="138"/>
  <c r="S16" i="139"/>
  <c r="S18" i="138"/>
  <c r="S29" i="139"/>
  <c r="S31" i="138"/>
  <c r="S18" i="139"/>
  <c r="S20" i="138"/>
  <c r="S20" i="139"/>
  <c r="S22" i="138"/>
  <c r="S22" i="139"/>
  <c r="S24" i="138"/>
  <c r="S24" i="139"/>
  <c r="S26" i="138"/>
  <c r="S26" i="139"/>
  <c r="S28" i="138"/>
  <c r="S33" i="139"/>
  <c r="S36" i="138"/>
  <c r="S27" i="139"/>
  <c r="S29" i="138"/>
  <c r="K5" i="119"/>
  <c r="I12" i="68"/>
  <c r="M8"/>
  <c r="I8"/>
  <c r="K8"/>
  <c r="M12"/>
  <c r="M18"/>
  <c r="I16"/>
  <c r="I15"/>
  <c r="M17"/>
  <c r="M16"/>
  <c r="I18"/>
  <c r="I17"/>
  <c r="M15"/>
  <c r="O8"/>
  <c r="K6" i="119"/>
  <c r="I11" i="68"/>
  <c r="K7" i="119"/>
  <c r="W35"/>
  <c r="K12" s="1"/>
  <c r="W20"/>
  <c r="K13" s="1"/>
  <c r="I8" i="136"/>
  <c r="I7"/>
  <c r="I9"/>
  <c r="L34" i="138" l="1"/>
  <c r="K9"/>
  <c r="L12" i="139"/>
  <c r="K12"/>
  <c r="K20" i="138"/>
  <c r="K22"/>
  <c r="K36"/>
  <c r="K35"/>
  <c r="K50"/>
  <c r="K24"/>
  <c r="L23"/>
  <c r="L38"/>
  <c r="L37"/>
  <c r="L35"/>
  <c r="L50"/>
  <c r="L36"/>
  <c r="L51"/>
  <c r="L39"/>
  <c r="K52"/>
  <c r="K37"/>
  <c r="K51"/>
  <c r="K21"/>
  <c r="K39"/>
  <c r="K7"/>
  <c r="L53"/>
  <c r="L22"/>
  <c r="L21"/>
  <c r="L52"/>
  <c r="L20"/>
  <c r="L24"/>
  <c r="L7"/>
  <c r="L48"/>
  <c r="L18"/>
  <c r="L49"/>
  <c r="L19"/>
  <c r="L33"/>
  <c r="L15"/>
  <c r="L31"/>
  <c r="L46"/>
  <c r="L29"/>
  <c r="L12"/>
  <c r="L44"/>
  <c r="L42"/>
  <c r="L10"/>
  <c r="L27"/>
  <c r="L8"/>
  <c r="L25"/>
  <c r="L40"/>
  <c r="K38"/>
  <c r="K53"/>
  <c r="K23"/>
  <c r="K33"/>
  <c r="K32"/>
  <c r="K47"/>
  <c r="K16"/>
  <c r="K45"/>
  <c r="K13"/>
  <c r="K30"/>
  <c r="K28"/>
  <c r="K43"/>
  <c r="K11"/>
  <c r="K26"/>
  <c r="K41"/>
  <c r="L16"/>
  <c r="L32"/>
  <c r="L17"/>
  <c r="L47"/>
  <c r="L45"/>
  <c r="L13"/>
  <c r="L14"/>
  <c r="L30"/>
  <c r="L28"/>
  <c r="L11"/>
  <c r="L43"/>
  <c r="L41"/>
  <c r="L9"/>
  <c r="L26"/>
  <c r="K49"/>
  <c r="K19"/>
  <c r="K18"/>
  <c r="K48"/>
  <c r="K34"/>
  <c r="K15"/>
  <c r="K31"/>
  <c r="K46"/>
  <c r="K12"/>
  <c r="K29"/>
  <c r="K44"/>
  <c r="K27"/>
  <c r="K42"/>
  <c r="K10"/>
  <c r="K8"/>
  <c r="K40"/>
  <c r="K25"/>
  <c r="L27" i="139"/>
  <c r="L13"/>
  <c r="L16"/>
  <c r="K15"/>
  <c r="K13"/>
  <c r="K14"/>
  <c r="K26"/>
  <c r="L30"/>
  <c r="L15"/>
  <c r="L29"/>
  <c r="L14"/>
  <c r="L28"/>
  <c r="K29"/>
  <c r="K27"/>
  <c r="K16"/>
  <c r="K28"/>
  <c r="L17"/>
  <c r="L11"/>
  <c r="L25"/>
  <c r="L24"/>
  <c r="L26"/>
  <c r="L21"/>
  <c r="L8"/>
  <c r="L19"/>
  <c r="L6"/>
  <c r="K17"/>
  <c r="K30"/>
  <c r="K23"/>
  <c r="K10"/>
  <c r="K9"/>
  <c r="K22"/>
  <c r="K7"/>
  <c r="K20"/>
  <c r="K5"/>
  <c r="K18"/>
  <c r="L23"/>
  <c r="L10"/>
  <c r="L9"/>
  <c r="L22"/>
  <c r="L7"/>
  <c r="L20"/>
  <c r="L5"/>
  <c r="L18"/>
  <c r="K11"/>
  <c r="K25"/>
  <c r="K24"/>
  <c r="K21"/>
  <c r="K8"/>
  <c r="K19"/>
  <c r="K6"/>
</calcChain>
</file>

<file path=xl/sharedStrings.xml><?xml version="1.0" encoding="utf-8"?>
<sst xmlns="http://schemas.openxmlformats.org/spreadsheetml/2006/main" count="1215" uniqueCount="682">
  <si>
    <t>Привод электромеханический NICE WG 4024 - 2 шт, 
Блок управления МС424 - 1шт 
Приемник SMXI - 1шт, Пульт FLOR2RE - 2шт, 
Кронштейны крепления к столбам и створкам</t>
  </si>
  <si>
    <t>Отсутствует</t>
  </si>
  <si>
    <t>При заказе  Панелей с ячейкой 100/150/200*50 к стоимости Панелей с ячейкой 100/150/200*55 применяется коэффициент 1,07</t>
  </si>
  <si>
    <t>При заказе  Панелей с ячейкой 100/150/200*60 к стоимости Панелей с ячейкой 100/150/200*55 применяется коэффициент 0,95</t>
  </si>
  <si>
    <r>
      <t xml:space="preserve">Инструмент для монтажа винтопор </t>
    </r>
    <r>
      <rPr>
        <b/>
        <sz val="16"/>
        <color indexed="10"/>
        <rFont val="Arial"/>
        <family val="2"/>
        <charset val="204"/>
      </rPr>
      <t>NEW</t>
    </r>
  </si>
  <si>
    <t>Страна-производитель</t>
  </si>
  <si>
    <t>Испания</t>
  </si>
  <si>
    <t>Столб временного ограждения 51х1,2х1950 Zn - 2 шт</t>
  </si>
  <si>
    <t>51х1,2х1950</t>
  </si>
  <si>
    <t>1,74х3,1</t>
  </si>
  <si>
    <t xml:space="preserve">Крепление скоба Medium винт М6х30 </t>
  </si>
  <si>
    <t>Цвет/покрытие</t>
  </si>
  <si>
    <t xml:space="preserve">Проушины для навесного замка </t>
  </si>
  <si>
    <t>зеленый RAL 6005
черный RAL 9005</t>
  </si>
  <si>
    <t>90*55*1,6</t>
  </si>
  <si>
    <t xml:space="preserve">Стандартные цвета PROTECT: зеленый RAL 6005, синий RAL 5005,  серый RAL 7040, белый RAL 9016, </t>
  </si>
  <si>
    <t>Внимание! Продажа временных ограждений ведется комплектно. Отдельно крепления, столбы, панели или основания не продаются.</t>
  </si>
  <si>
    <t>Ограждение Grand Line®
Премиум Плюс</t>
  </si>
  <si>
    <t>Ограждение Grand Line®
Премиум</t>
  </si>
  <si>
    <t>Ограждение Grand Line®
Стандарт</t>
  </si>
  <si>
    <t>Ограждение Grand Line®
Эконом</t>
  </si>
  <si>
    <r>
      <t xml:space="preserve">Комплект на 2,5 метра прямого не замкнутого участка ограждения </t>
    </r>
    <r>
      <rPr>
        <b/>
        <u/>
        <sz val="16"/>
        <rFont val="Arial"/>
        <family val="2"/>
        <charset val="204"/>
      </rPr>
      <t>под бетонирование</t>
    </r>
    <r>
      <rPr>
        <b/>
        <sz val="16"/>
        <rFont val="Arial"/>
        <family val="2"/>
        <charset val="204"/>
      </rPr>
      <t xml:space="preserve"> без учета финишных столбов и калиток с воротами Модульных ограждений Grand Line</t>
    </r>
    <r>
      <rPr>
        <b/>
        <vertAlign val="superscript"/>
        <sz val="16"/>
        <rFont val="Arial"/>
        <family val="2"/>
        <charset val="204"/>
      </rPr>
      <t>®</t>
    </r>
    <r>
      <rPr>
        <b/>
        <sz val="16"/>
        <rFont val="Arial"/>
        <family val="2"/>
        <charset val="204"/>
      </rPr>
      <t xml:space="preserve"> </t>
    </r>
  </si>
  <si>
    <t>Панель  860*1600 (1970) мм - 3 шт. 
Cтолб  62*55*2500 мм - 1 шт.        
Направляющая  60*20*2500 2 шт.  
Т- кронштейн - 2 шт.</t>
  </si>
  <si>
    <t>Панель  860*1600 (1970) мм - 3 шт.
Направляющая  60*20*2500 мм  - 3 шт.
Декоративное полотно 360*2500 мм -1 шт.
Стойка 84*48*2500 (3000) мм  - 2 шт.
Столб 62*55*3000 мм - 1 шт (для ограждения 2,4 м)
Крышка универсальная - 1 шт / Крышка - 2 шт.</t>
  </si>
  <si>
    <t>При заказе  Панелей с ячейкой 100*55 к стоимости Панелей с ячейкой 200*55 применяется коэффициент 1,20</t>
  </si>
  <si>
    <t>При заказе  Панелей с ячейкой 150*55 к стоимости Панелей с ячейкой 200*55 применяется коэффициент 1,10</t>
  </si>
  <si>
    <t>Коэффициенты применяются в последовательности от большего к меньшему</t>
  </si>
  <si>
    <r>
      <t xml:space="preserve">Фиксатор проволоки в наконечнике
</t>
    </r>
    <r>
      <rPr>
        <sz val="16"/>
        <rFont val="Arial"/>
        <family val="2"/>
        <charset val="204"/>
      </rPr>
      <t>(скоба + болт М6*40 + гайка М6)</t>
    </r>
  </si>
  <si>
    <t>Анкер М12*120 
для крепления столба с фланцем к бетонному основанию</t>
  </si>
  <si>
    <t>Болт М12*100 + шайба + гайка
для крепления столба к винтовой опоре с фланцем</t>
  </si>
  <si>
    <t>Болт М16*80
для крепления столба к винтовой опоре без фланца</t>
  </si>
  <si>
    <t>оцинкованные</t>
  </si>
  <si>
    <r>
      <rPr>
        <b/>
        <u/>
        <sz val="16"/>
        <rFont val="Arial"/>
        <family val="2"/>
        <charset val="204"/>
      </rPr>
      <t>Стандартные цвета</t>
    </r>
    <r>
      <rPr>
        <b/>
        <sz val="16"/>
        <rFont val="Arial"/>
        <family val="2"/>
        <charset val="204"/>
      </rPr>
      <t>:  зеленый RAL 6005, синий RAL 5005,  серый RAL 7040, белый RAL 9016, желтый RAL 1021, красный RAL 3020, вишневый RAL 3005, коричневый RAL 8017, черный RAL 9005, бежевый RAL 1014</t>
    </r>
  </si>
  <si>
    <r>
      <rPr>
        <b/>
        <u/>
        <sz val="16"/>
        <color indexed="8"/>
        <rFont val="Arial"/>
        <family val="2"/>
        <charset val="204"/>
      </rPr>
      <t>Заказы в стандартных цветах</t>
    </r>
    <r>
      <rPr>
        <b/>
        <sz val="16"/>
        <color indexed="8"/>
        <rFont val="Arial"/>
        <family val="2"/>
        <charset val="204"/>
      </rPr>
      <t xml:space="preserve"> менее 150 погонных метров не принимаются</t>
    </r>
  </si>
  <si>
    <t>78,5 х 40,5</t>
  </si>
  <si>
    <r>
      <t>Наконечник для уличного освещения</t>
    </r>
    <r>
      <rPr>
        <b/>
        <sz val="16"/>
        <color indexed="10"/>
        <rFont val="Arial"/>
        <family val="2"/>
        <charset val="204"/>
      </rPr>
      <t xml:space="preserve"> NEW</t>
    </r>
  </si>
  <si>
    <t>RAL8004</t>
  </si>
  <si>
    <t>62*55*1,4</t>
  </si>
  <si>
    <t>62*55*1500</t>
  </si>
  <si>
    <t>62*55*2500</t>
  </si>
  <si>
    <t>Barrier</t>
  </si>
  <si>
    <t>**** - поддерживаются на складе в полимерном покрытии: цвет зеленый RAL 6005, коричневый RAL 8017</t>
  </si>
  <si>
    <t>8017, 6005, 3005</t>
  </si>
  <si>
    <t>Antique Dub, Golden Dub</t>
  </si>
  <si>
    <t>RAL 8017
RR32</t>
  </si>
  <si>
    <t>Цвет, RAL</t>
  </si>
  <si>
    <t>Панель 
PROFI</t>
  </si>
  <si>
    <t>Планка П-образная заборная 20 (2м)</t>
  </si>
  <si>
    <t>Grass</t>
  </si>
  <si>
    <t>Панель PROFI или MEDIUM приваренные к трубе 40х20
Столб 62х55*1,1 - 1шт
Крепление две скобы + болт М6х100 с антивандальными гайками - 2 шт на столб</t>
  </si>
  <si>
    <t>Ваша скидка</t>
  </si>
  <si>
    <t>пластик</t>
  </si>
  <si>
    <t>оцинкованная</t>
  </si>
  <si>
    <t>оцинкованный  / с полимерным покрытием</t>
  </si>
  <si>
    <t>оцинкованный</t>
  </si>
  <si>
    <t>оцинкованная  / с полимерным покрытием</t>
  </si>
  <si>
    <t>Лампа сигнальная 12В MLB (для Road400KIT) или 12В ML (для Road500KIT)</t>
  </si>
  <si>
    <t>Лампа сигнальная 12В ML</t>
  </si>
  <si>
    <t>Основной Комплект</t>
  </si>
  <si>
    <t>Возможно производство калиток и ворот Protect (цена = стоимость калиток и ворот Profi + наценка 15%)</t>
  </si>
  <si>
    <t>90*55</t>
  </si>
  <si>
    <t>Комплект: Замок для панельных откатных ворот</t>
  </si>
  <si>
    <t>60*80*2,0</t>
  </si>
  <si>
    <t>80*80*3,0</t>
  </si>
  <si>
    <t>80*80*2,0</t>
  </si>
  <si>
    <t>1,5/2,5</t>
  </si>
  <si>
    <t>скрыть</t>
  </si>
  <si>
    <t>Крепление скоба болт</t>
  </si>
  <si>
    <t>62*55*3000</t>
  </si>
  <si>
    <t>труба 40х20</t>
  </si>
  <si>
    <t>столб 62х55</t>
  </si>
  <si>
    <t>62*55*1100</t>
  </si>
  <si>
    <t>работы по сварке панель Medium + труба 40х20</t>
  </si>
  <si>
    <t>работы по сварке панель Profi + труба 40х20</t>
  </si>
  <si>
    <t>RAL6005,8017,3005,7040,5005,9016,9005,1021,1014,3020</t>
  </si>
  <si>
    <r>
      <t xml:space="preserve">Клипсатор
</t>
    </r>
    <r>
      <rPr>
        <sz val="16"/>
        <rFont val="Arial"/>
        <family val="2"/>
        <charset val="204"/>
      </rPr>
      <t>исп-ся для обжима соединит-х клипс при стыковке панелей</t>
    </r>
  </si>
  <si>
    <t>1,5*</t>
  </si>
  <si>
    <r>
      <t xml:space="preserve">Цена за 1 п.м. комплекта, руб. </t>
    </r>
    <r>
      <rPr>
        <b/>
        <sz val="16"/>
        <color indexed="10"/>
        <rFont val="Arial"/>
        <family val="2"/>
        <charset val="204"/>
      </rPr>
      <t>Внимание! Расчет теоретический</t>
    </r>
    <r>
      <rPr>
        <b/>
        <sz val="16"/>
        <rFont val="Arial"/>
        <family val="2"/>
        <charset val="204"/>
      </rPr>
      <t>.                                                             Продажа ведется по ЭЛЕМЕНТАМ и расчет по конкретному участку будет отличаться!</t>
    </r>
  </si>
  <si>
    <t xml:space="preserve"> Cтолб + заглушка</t>
  </si>
  <si>
    <r>
      <t xml:space="preserve">Штрих-корректоры
</t>
    </r>
    <r>
      <rPr>
        <sz val="16"/>
        <rFont val="Arial"/>
        <family val="2"/>
        <charset val="204"/>
      </rPr>
      <t>используется для реставрации полимерного покрытия</t>
    </r>
  </si>
  <si>
    <t>20 мл</t>
  </si>
  <si>
    <r>
      <t>ПББ диаметр 900</t>
    </r>
    <r>
      <rPr>
        <sz val="16"/>
        <rFont val="Arial"/>
        <family val="2"/>
        <charset val="204"/>
      </rPr>
      <t xml:space="preserve"> (4,4 витка на пог. метр)</t>
    </r>
  </si>
  <si>
    <t>Вес, кг/шт.</t>
  </si>
  <si>
    <t>Цены указаны на  стандартные цвета. Возможно исполнение в других цветах стоимость по согласованию.</t>
  </si>
  <si>
    <r>
      <t xml:space="preserve">Крепление хомут, Крепление хомут крайний </t>
    </r>
    <r>
      <rPr>
        <sz val="12"/>
        <rFont val="Arial"/>
        <family val="2"/>
        <charset val="204"/>
      </rPr>
      <t>(укомплектован антивандальными гайками М6)</t>
    </r>
  </si>
  <si>
    <t>62*55</t>
  </si>
  <si>
    <t>Бетонное основание*</t>
  </si>
  <si>
    <t>Комплектация</t>
  </si>
  <si>
    <t>Панель MEDIUM</t>
  </si>
  <si>
    <t>Газонные и тротуарные ограждения</t>
  </si>
  <si>
    <r>
      <t xml:space="preserve">Крепление скоба </t>
    </r>
    <r>
      <rPr>
        <sz val="16"/>
        <rFont val="Arial"/>
        <family val="2"/>
        <charset val="204"/>
      </rPr>
      <t>(болт М6*85/25/100  + гайка антивандальная М6 или или винт М6*30)</t>
    </r>
  </si>
  <si>
    <t>в бухте 10 погонных метров</t>
  </si>
  <si>
    <t>1 шт.</t>
  </si>
  <si>
    <r>
      <t>СББ диаметр 500/3</t>
    </r>
    <r>
      <rPr>
        <sz val="16"/>
        <rFont val="Arial"/>
        <family val="2"/>
        <charset val="204"/>
      </rPr>
      <t xml:space="preserve"> (4 витка на пог. метр)</t>
    </r>
  </si>
  <si>
    <r>
      <t>СББ диаметр 500/5</t>
    </r>
    <r>
      <rPr>
        <sz val="16"/>
        <rFont val="Arial"/>
        <family val="2"/>
        <charset val="204"/>
      </rPr>
      <t xml:space="preserve"> (6,2 витка на пог. метр)</t>
    </r>
  </si>
  <si>
    <r>
      <t>СББ диаметр 600/3</t>
    </r>
    <r>
      <rPr>
        <sz val="16"/>
        <rFont val="Arial"/>
        <family val="2"/>
        <charset val="204"/>
      </rPr>
      <t xml:space="preserve"> (4 витка на пог. метр)</t>
    </r>
  </si>
  <si>
    <r>
      <t>СББ диаметр 600/5</t>
    </r>
    <r>
      <rPr>
        <sz val="16"/>
        <rFont val="Arial"/>
        <family val="2"/>
        <charset val="204"/>
      </rPr>
      <t xml:space="preserve"> (6,2 витка на пог. метр)</t>
    </r>
  </si>
  <si>
    <r>
      <t>СББ диаметр 900/5</t>
    </r>
    <r>
      <rPr>
        <sz val="16"/>
        <rFont val="Arial"/>
        <family val="2"/>
        <charset val="204"/>
      </rPr>
      <t xml:space="preserve"> (4,2 витка на пог. метр)</t>
    </r>
  </si>
  <si>
    <t>полиэстер двс</t>
  </si>
  <si>
    <t>Цена, руб.</t>
  </si>
  <si>
    <t>-</t>
  </si>
  <si>
    <t>Комплект откатных ворот</t>
  </si>
  <si>
    <t>Комплект для автоматизации откатных ворот</t>
  </si>
  <si>
    <t xml:space="preserve">62*55*1000     </t>
  </si>
  <si>
    <t>Protect**</t>
  </si>
  <si>
    <t>Наименование Откатных ворот</t>
  </si>
  <si>
    <t>Заполнение</t>
  </si>
  <si>
    <t>Премиум*</t>
  </si>
  <si>
    <t>Премиум Плюс*</t>
  </si>
  <si>
    <t>Profi**</t>
  </si>
  <si>
    <t>Панель Profi</t>
  </si>
  <si>
    <t>Профильная труба 40*20</t>
  </si>
  <si>
    <t>Цены указаны на стандартные цвета. Возможно исполнение в других цветах стоимость по согласованию.</t>
  </si>
  <si>
    <t>* - стандартные цвета по RAL: 3005, 6005, 8017</t>
  </si>
  <si>
    <t>** - стандартные цвета по RAL: 1014, 1021, 3005, 3020, 5005, 6005, 7040, 8017, 9005, 9016</t>
  </si>
  <si>
    <t>Ваша Скидка</t>
  </si>
  <si>
    <t>Изображение</t>
  </si>
  <si>
    <t>Покрытие</t>
  </si>
  <si>
    <t>860*1600</t>
  </si>
  <si>
    <t>Планка притворная для навесного замка</t>
  </si>
  <si>
    <t>Высота/ Ширина,             м</t>
  </si>
  <si>
    <t>Высота/ Длина рулона, м</t>
  </si>
  <si>
    <t>Ячейка, мм</t>
  </si>
  <si>
    <t>Кол-во ребер,                                шт.</t>
  </si>
  <si>
    <t>Вес панели, кг</t>
  </si>
  <si>
    <t>1,0/25</t>
  </si>
  <si>
    <t>Планка П-образная для штакетника</t>
  </si>
  <si>
    <t>Розничная цена, шт./руб.</t>
  </si>
  <si>
    <t>100*50</t>
  </si>
  <si>
    <t>1,5/25</t>
  </si>
  <si>
    <t>1,8/25</t>
  </si>
  <si>
    <t>2,0/25</t>
  </si>
  <si>
    <t>50*50</t>
  </si>
  <si>
    <t>Высота/ Ширина, м</t>
  </si>
  <si>
    <t>Вес,                       кг/шт.</t>
  </si>
  <si>
    <t>0,6*0,2*0,125</t>
  </si>
  <si>
    <t>3006R</t>
  </si>
  <si>
    <t>3006P</t>
  </si>
  <si>
    <t>3012VCA</t>
  </si>
  <si>
    <t>HYBRID 6060</t>
  </si>
  <si>
    <t>отсутствует</t>
  </si>
  <si>
    <t>Ручки</t>
  </si>
  <si>
    <t>3006M,   алюминий</t>
  </si>
  <si>
    <t>Цилиндр и ключи</t>
  </si>
  <si>
    <t>3012G33Z, 3 штуки</t>
  </si>
  <si>
    <t>Защитная накладка для замка</t>
  </si>
  <si>
    <t>3020-HYB, цвет - черный</t>
  </si>
  <si>
    <t>LSKZ60 U2</t>
  </si>
  <si>
    <t>3006S</t>
  </si>
  <si>
    <t xml:space="preserve">860*1970 </t>
  </si>
  <si>
    <t xml:space="preserve">Труба                   </t>
  </si>
  <si>
    <t xml:space="preserve">40*20*2500  </t>
  </si>
  <si>
    <t>цинк Zn</t>
  </si>
  <si>
    <t>40*20*3000</t>
  </si>
  <si>
    <t xml:space="preserve">62*55*2500     </t>
  </si>
  <si>
    <t xml:space="preserve">62*55*3000   </t>
  </si>
  <si>
    <t>Регулируемые скорость и сила закрытия                                                                    Отбойник прилагается в комплекте</t>
  </si>
  <si>
    <t>Фиксатор створки ворот антивандальный</t>
  </si>
  <si>
    <t>HOOK-IN</t>
  </si>
  <si>
    <t>Предотвращает взлом ворот с помощью лома</t>
  </si>
  <si>
    <t>Cтолб 62*55</t>
  </si>
  <si>
    <t>Элемент быстрого монтажа</t>
  </si>
  <si>
    <t>QUICK-FIX</t>
  </si>
  <si>
    <t>Петля для промышленных ворот</t>
  </si>
  <si>
    <t>Петля с регулировкой в четырех направлениях</t>
  </si>
  <si>
    <t>GBMU4D16Z</t>
  </si>
  <si>
    <t>Цинк</t>
  </si>
  <si>
    <t>GBMU4D20Z</t>
  </si>
  <si>
    <t>50 штук</t>
  </si>
  <si>
    <t>Петля с регулировкой в одном направлении</t>
  </si>
  <si>
    <t>Петля универсальная</t>
  </si>
  <si>
    <t>Петля универсального открывания</t>
  </si>
  <si>
    <t>Полимер</t>
  </si>
  <si>
    <t>Ворота Medium</t>
  </si>
  <si>
    <t>в бухте 400 погонных метров</t>
  </si>
  <si>
    <t>в бухте 7-8 погонных метров</t>
  </si>
  <si>
    <r>
      <t>ПББ диаметр 500</t>
    </r>
    <r>
      <rPr>
        <sz val="16"/>
        <rFont val="Arial"/>
        <family val="2"/>
        <charset val="204"/>
      </rPr>
      <t xml:space="preserve"> (4,4 витка на пог. метр)</t>
    </r>
  </si>
  <si>
    <t>Модель</t>
  </si>
  <si>
    <t>1,65*3,6</t>
  </si>
  <si>
    <t>2,00*3,6</t>
  </si>
  <si>
    <t>Рекомендованная розничная цена за 1 панель, шт/руб.</t>
  </si>
  <si>
    <t>Все цены указаны с НДС на складе завода Grand Line (71 км от МКАД по Киевскому шоссе, Ворсино)</t>
  </si>
  <si>
    <t>Ограждения</t>
  </si>
  <si>
    <t>0,55*0,17</t>
  </si>
  <si>
    <t>Калитка Medium</t>
  </si>
  <si>
    <t>При заказе  Панелей шириной 3100 мм к стоимости Панелей 2500 мм применяется коэффициент 1,25</t>
  </si>
  <si>
    <t>оцинкованное  / с полимерным покрытием</t>
  </si>
  <si>
    <t>Клипса соединительная</t>
  </si>
  <si>
    <t>Наконечник  универсальный</t>
  </si>
  <si>
    <t>Наименование</t>
  </si>
  <si>
    <t>Высота, м</t>
  </si>
  <si>
    <t>Ширина, м</t>
  </si>
  <si>
    <t>Наконечник  V на столб 62*55</t>
  </si>
  <si>
    <t>Саморезы
4,8x35</t>
  </si>
  <si>
    <t>Саморезы
5,5x19</t>
  </si>
  <si>
    <t>Саморезы
4,2x16; заклепка 3,2х8</t>
  </si>
  <si>
    <t>Панель Премиум</t>
  </si>
  <si>
    <t xml:space="preserve">полимер </t>
  </si>
  <si>
    <t>полимер</t>
  </si>
  <si>
    <t>Саморез металл-металл 5,5*19 бур.№3 цвет по RAL</t>
  </si>
  <si>
    <t>Изображение продукции</t>
  </si>
  <si>
    <t>Саморез металл-дерево 4,8*35 цвет по RAL</t>
  </si>
  <si>
    <t>Заклепка цветная 3,2*8 цвет по RAL</t>
  </si>
  <si>
    <t>Саморез с прессшайбой 4,2*16 цвет по RAL</t>
  </si>
  <si>
    <t xml:space="preserve">62*55*2000   </t>
  </si>
  <si>
    <t>Пульт Flo2R-S</t>
  </si>
  <si>
    <t>Замковый выключатель (SELE)</t>
  </si>
  <si>
    <t>Розничная цена за 1 панель, шт/руб.</t>
  </si>
  <si>
    <t>Розничная цена, руб/п.м.</t>
  </si>
  <si>
    <t>0,63*2,5</t>
  </si>
  <si>
    <t>Калитки и Ворота Эконом поддерживаются на складе в полимерном покрытии: серое стекло RAL 7040, коричневый RAL 8017</t>
  </si>
  <si>
    <t>Кол-во ребер, шт.</t>
  </si>
  <si>
    <t>Кол-во отверстий, шт.</t>
  </si>
  <si>
    <t>Кол-во в упаковке, шт.</t>
  </si>
  <si>
    <t>Высота/ Ширина,м</t>
  </si>
  <si>
    <t>Реком розничная цена, руб/п.м.</t>
  </si>
  <si>
    <t>Ригель створки ворот</t>
  </si>
  <si>
    <t>VSF QF</t>
  </si>
  <si>
    <t>мин 40</t>
  </si>
  <si>
    <t>+140</t>
  </si>
  <si>
    <t>+100</t>
  </si>
  <si>
    <t>Основная часть - алюминий, Запорная часть - цинк</t>
  </si>
  <si>
    <t>Фиксатор ригелей ворот</t>
  </si>
  <si>
    <t>OGS</t>
  </si>
  <si>
    <t>40-50-60</t>
  </si>
  <si>
    <t xml:space="preserve">ригелей VSF VSA </t>
  </si>
  <si>
    <t>Крышка</t>
  </si>
  <si>
    <t>87*50</t>
  </si>
  <si>
    <t>Калитка Премиум</t>
  </si>
  <si>
    <t xml:space="preserve">Калитка Премиум Плюс  </t>
  </si>
  <si>
    <t xml:space="preserve">Направляющая  </t>
  </si>
  <si>
    <t xml:space="preserve">60*20*2500 </t>
  </si>
  <si>
    <t xml:space="preserve">Столб оцинкованный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отверстиями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заглушкой                                                                                                                                                                                                                                         </t>
  </si>
  <si>
    <t>Cтойка 84*48</t>
  </si>
  <si>
    <t>Панели не отмеченные как складские в цинке производятся в количестве от 300 штук</t>
  </si>
  <si>
    <t xml:space="preserve">Столб оцинкованный                                                                                                                                                                                                                                                                            с полимерным покрытием                                                                                                                                                                                                                                                                                с отверстиями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заглушкой                                                                                                                                                                                                                                       </t>
  </si>
  <si>
    <t>Розничная цена, п.м./руб.</t>
  </si>
  <si>
    <t xml:space="preserve">Ворота Премиум </t>
  </si>
  <si>
    <t xml:space="preserve">Ворота Премиум Плюс </t>
  </si>
  <si>
    <t>RAL 3005, 6005, 8017</t>
  </si>
  <si>
    <t xml:space="preserve">* - поддерживаются на складе в полимерном покрытии: цвет зеленый RAL 6005 </t>
  </si>
  <si>
    <t>Фиксатор створки ворот</t>
  </si>
  <si>
    <t>UGC</t>
  </si>
  <si>
    <t>+40</t>
  </si>
  <si>
    <t>Положение крюка под нижним профилем ворот</t>
  </si>
  <si>
    <t xml:space="preserve">360*2500    </t>
  </si>
  <si>
    <t xml:space="preserve"> Стойка </t>
  </si>
  <si>
    <t>84*48*2500</t>
  </si>
  <si>
    <t xml:space="preserve">84*48*3000 </t>
  </si>
  <si>
    <t xml:space="preserve">Х-кронштейн </t>
  </si>
  <si>
    <t xml:space="preserve">248*109*40 </t>
  </si>
  <si>
    <t>Т-кронштейн</t>
  </si>
  <si>
    <t>155*90*80</t>
  </si>
  <si>
    <t>Крышка универсальная</t>
  </si>
  <si>
    <t>100*87*20</t>
  </si>
  <si>
    <t>Заглушка GL 62*55</t>
  </si>
  <si>
    <t>62*55*30</t>
  </si>
  <si>
    <t>ПВХ</t>
  </si>
  <si>
    <t>L-кронштейн</t>
  </si>
  <si>
    <t>60*20*110</t>
  </si>
  <si>
    <t>Высота ограждения, м</t>
  </si>
  <si>
    <t xml:space="preserve">Габаритные размеры, мм                             </t>
  </si>
  <si>
    <t>Кол-во в упак , шт.</t>
  </si>
  <si>
    <t>Толщина, мм</t>
  </si>
  <si>
    <t>Реком розничная цена, руб/шт</t>
  </si>
  <si>
    <t>Комплект</t>
  </si>
  <si>
    <t>мин</t>
  </si>
  <si>
    <t>макс</t>
  </si>
  <si>
    <t>60мм</t>
  </si>
  <si>
    <t>80мм</t>
  </si>
  <si>
    <t>Ручка</t>
  </si>
  <si>
    <t>3006М</t>
  </si>
  <si>
    <t>Цилиндр</t>
  </si>
  <si>
    <t>3012VSZ</t>
  </si>
  <si>
    <t>Ключи</t>
  </si>
  <si>
    <t>3 штуки</t>
  </si>
  <si>
    <t>мин 40 мм</t>
  </si>
  <si>
    <t xml:space="preserve">Регулируемые скорость и сила закрытия </t>
  </si>
  <si>
    <t>VERTICLOSE</t>
  </si>
  <si>
    <t>мин 70 мм</t>
  </si>
  <si>
    <t>При заказе  Панелей шириной 3000 мм к стоимости Панелей 2500 мм применяется коэффициент 1,20</t>
  </si>
  <si>
    <t>Размеры</t>
  </si>
  <si>
    <t>Болт М6*85/100 + шайба + гайка антивандальная   для крепления наконечника универсального к столбу</t>
  </si>
  <si>
    <t>Комплект из 2-х оснований для столба</t>
  </si>
  <si>
    <t>Длина ворот до 6 м
Цена, руб.</t>
  </si>
  <si>
    <t>Длина ворот более 6,5 м
Цена, руб.</t>
  </si>
  <si>
    <t>Рейка с креплением для откатных ворот</t>
  </si>
  <si>
    <r>
      <t>ПББ диаметр 600</t>
    </r>
    <r>
      <rPr>
        <sz val="16"/>
        <rFont val="Arial"/>
        <family val="2"/>
        <charset val="204"/>
      </rPr>
      <t xml:space="preserve"> (4,4 витка на пог. метр)</t>
    </r>
  </si>
  <si>
    <t>60*80</t>
  </si>
  <si>
    <t>индивидуально</t>
  </si>
  <si>
    <t>80*80</t>
  </si>
  <si>
    <t>оцинкованное</t>
  </si>
  <si>
    <t>Наконечник L на столб 62*55</t>
  </si>
  <si>
    <t>Цвет</t>
  </si>
  <si>
    <t>Цена, руб</t>
  </si>
  <si>
    <t>Привод электромеханический TOONA TO5016/Р - 2шт, 
Блок управления А60/А - 1шт, 
Приемник встраиваемый 4к SMXIS - 1шт, 
Пульт ДУ 2к Smilo SM2 - 2шт</t>
  </si>
  <si>
    <t>Фотоэлемент BF</t>
  </si>
  <si>
    <t xml:space="preserve">Столб оцинкованный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заглушкой                                                                                                                                                                                                                                         </t>
  </si>
  <si>
    <t>1 штука</t>
  </si>
  <si>
    <t>Ответная планка SSKZ QF</t>
  </si>
  <si>
    <t>Ответная планка O-SET</t>
  </si>
  <si>
    <t xml:space="preserve">Крепление (2 скобы и болт М6х40) </t>
  </si>
  <si>
    <t>черный RAL 9005</t>
  </si>
  <si>
    <t>Остальные цвета по запросу согласно RAL с наценкой  10 %, в количестве не менее 300 погонных метров.</t>
  </si>
  <si>
    <t>Заказы в стандартных цветах менее 150 погонных метров не принимаются.</t>
  </si>
  <si>
    <t>желтый RAL 1021, красный RAL 3020, вишневый RAL 3005, коричневый RAL 8017, черный RAL 9005, бежевый RAL 1014 .</t>
  </si>
  <si>
    <t>Cтандартные цвета по RAL: 1014, 1021, 3005, 3020, 5005, 6005, 7040, 8017, 9005, 9016.</t>
  </si>
  <si>
    <t>Вес,кг</t>
  </si>
  <si>
    <t>пвх</t>
  </si>
  <si>
    <t>2,0*</t>
  </si>
  <si>
    <t>2,0**</t>
  </si>
  <si>
    <t>нерж.</t>
  </si>
  <si>
    <t>51мм</t>
  </si>
  <si>
    <t>Крепление временного ограждения</t>
  </si>
  <si>
    <t xml:space="preserve"> Декоративное полотно</t>
  </si>
  <si>
    <t xml:space="preserve">Укосина </t>
  </si>
  <si>
    <t>51 мм</t>
  </si>
  <si>
    <t>90*55*3000</t>
  </si>
  <si>
    <t>90*55*4000</t>
  </si>
  <si>
    <t>с полимерным покрытием</t>
  </si>
  <si>
    <t>РЕ</t>
  </si>
  <si>
    <t>РЕ двс</t>
  </si>
  <si>
    <t>цинк</t>
  </si>
  <si>
    <t>цинк/РЕ</t>
  </si>
  <si>
    <t>полимер 
RAL6005, RAL3005, RAL8017</t>
  </si>
  <si>
    <t>прямой край</t>
  </si>
  <si>
    <t>фигурный край</t>
  </si>
  <si>
    <t>Штакетник 
М/П-образный</t>
  </si>
  <si>
    <t>РЕ 0,5 GL</t>
  </si>
  <si>
    <t>Print 0,5</t>
  </si>
  <si>
    <t>PE dp 0,45</t>
  </si>
  <si>
    <t>Print dp 0,45</t>
  </si>
  <si>
    <t>6005, 9005, 9010</t>
  </si>
  <si>
    <t>G90Z-M20</t>
  </si>
  <si>
    <t>Наконечник прямой 550 мм</t>
  </si>
  <si>
    <t>Наконечник прямой 950 мм</t>
  </si>
  <si>
    <t>Штакетник PE 0,5 GL/ dp®/ Print - М/П-образный</t>
  </si>
  <si>
    <t xml:space="preserve">Штакетник PE 0,45 dp / Print 0,45 dp- Круглый/Прямоугольный </t>
  </si>
  <si>
    <r>
      <t xml:space="preserve">Крепление для рулонной сетки
</t>
    </r>
    <r>
      <rPr>
        <sz val="16"/>
        <rFont val="Arial"/>
        <family val="2"/>
        <charset val="204"/>
      </rPr>
      <t>(пластиковая скоба+саморез 4,8х35)</t>
    </r>
  </si>
  <si>
    <t>Комплект: Промышленный замок в металлическом корпусе*</t>
  </si>
  <si>
    <t>Замок LAKQ6060 (4040) U2**</t>
  </si>
  <si>
    <t>6005, 9005, Алюминий</t>
  </si>
  <si>
    <t>Ответная планка SAKL QF</t>
  </si>
  <si>
    <t>40мм</t>
  </si>
  <si>
    <t>Упорная часть</t>
  </si>
  <si>
    <t>Алюминий с резиновыми полосами</t>
  </si>
  <si>
    <t>Комплект: Электро механический замок в металлическом корпусе*</t>
  </si>
  <si>
    <t>LEKQ6060 U4</t>
  </si>
  <si>
    <t>Комплект : Замок в полиамидном корпусе*</t>
  </si>
  <si>
    <t>LAKZ6060 (4040) P1**</t>
  </si>
  <si>
    <t>Комплект: Врезной замок HYBRID*</t>
  </si>
  <si>
    <t>Цвет алюминий</t>
  </si>
  <si>
    <t>Комплект: Замок для откатных ворот*</t>
  </si>
  <si>
    <t>LSKZ6060 U2</t>
  </si>
  <si>
    <t>&gt;</t>
  </si>
  <si>
    <t>Нержавеющая сталь</t>
  </si>
  <si>
    <t>Алюминий</t>
  </si>
  <si>
    <t xml:space="preserve">Комплект: Замок для калитки Medium из 51 трубы* </t>
  </si>
  <si>
    <t xml:space="preserve">Ответная планка Medium RAL 6005 </t>
  </si>
  <si>
    <t>только для калитки Medium из 51 трубы</t>
  </si>
  <si>
    <t>Ответная планка из полиамида</t>
  </si>
  <si>
    <t>SMKL QF</t>
  </si>
  <si>
    <t>GBMU4DSHIELD12</t>
  </si>
  <si>
    <t>GBMU4DSHIELD16</t>
  </si>
  <si>
    <t xml:space="preserve"> GAM12 130 мм </t>
  </si>
  <si>
    <t xml:space="preserve"> GAM12 150 мм </t>
  </si>
  <si>
    <t xml:space="preserve">Полиэтилен армированный стекловолокном                     </t>
  </si>
  <si>
    <t>Доводчик гидравлический</t>
  </si>
  <si>
    <t>MAMMOTH</t>
  </si>
  <si>
    <t>Регулируемые скорость и сила закрытия</t>
  </si>
  <si>
    <t>Доводчик регулируемый (без рельсы)</t>
  </si>
  <si>
    <t>Рекоменд. розничная цена, п.м./руб.</t>
  </si>
  <si>
    <r>
      <t xml:space="preserve">Крепление хомут 62*55 для наконечника </t>
    </r>
    <r>
      <rPr>
        <sz val="12"/>
        <rFont val="Arial"/>
        <family val="2"/>
        <charset val="204"/>
      </rPr>
      <t>(укомплектован антивандальными гайками М6)</t>
    </r>
  </si>
  <si>
    <t>Струна оцинкованная 2,5 мм для крепления СББ/ПББ</t>
  </si>
  <si>
    <t>Проволока оцинкованная 1,6 мм для крепления СББ/ПББ к струне</t>
  </si>
  <si>
    <t xml:space="preserve">Комплект ворот и калитки Эконом </t>
  </si>
  <si>
    <t>NoLock (без замка)</t>
  </si>
  <si>
    <t>Lock (с замком)</t>
  </si>
  <si>
    <t>Труба 40*20*2500 мм - 2 шт.   
Cтолб 62*55*2500 (3000) мм  - 1 шт. 
Х-кронштейн - 2 шт.</t>
  </si>
  <si>
    <t>Панель  860*1600 (1970)мм - 3 шт.
Направляющая  60*20*2500 мм  - 2 шт.
Стойка 84*48*2500 (3000) мм  - 2 шт.
Крышка универсальная - 1 шт.</t>
  </si>
  <si>
    <t>Калитка 
Временного ограждения</t>
  </si>
  <si>
    <t>Ворота 
Временного ограждения</t>
  </si>
  <si>
    <t>Комплект ворот и калитки Временного ограждения</t>
  </si>
  <si>
    <r>
      <t>Элементы панельных ограждений Grand Line</t>
    </r>
    <r>
      <rPr>
        <b/>
        <vertAlign val="superscript"/>
        <sz val="20"/>
        <color indexed="10"/>
        <rFont val="Arial"/>
        <family val="2"/>
        <charset val="204"/>
      </rPr>
      <t>®</t>
    </r>
  </si>
  <si>
    <r>
      <t>Модульные ограждения Grand Line</t>
    </r>
    <r>
      <rPr>
        <b/>
        <vertAlign val="superscript"/>
        <sz val="20"/>
        <color indexed="10"/>
        <rFont val="Arial"/>
        <family val="2"/>
        <charset val="204"/>
      </rPr>
      <t>®</t>
    </r>
  </si>
  <si>
    <t>** - условия акции уточняйте у менеджера</t>
  </si>
  <si>
    <t>* - поддерживаются на складе</t>
  </si>
  <si>
    <t>Super</t>
  </si>
  <si>
    <t>Саморез металл-металл 5,5х19М бур.№3</t>
  </si>
  <si>
    <t>12 мл.</t>
  </si>
  <si>
    <t>Корректор для ремонта царапин цвета по RAL</t>
  </si>
  <si>
    <t>*** - поддерживается на складе в полимерном покрытии: цвет зеленый RAL 6005 , чёрный RAL 9005</t>
  </si>
  <si>
    <t xml:space="preserve">Замок LTKZ 5151 P1L </t>
  </si>
  <si>
    <t>Возможно производство откатных ворот с заполнением панелью Bastion, в данном случае к стоимости откатных ворот Profi применяется наценка 10%</t>
  </si>
  <si>
    <t>Высота * Ширина, м.</t>
  </si>
  <si>
    <t xml:space="preserve">Столб оцинкованный с полимерным покрытием с заглушкой****                                                                                                                                                                                                                                       </t>
  </si>
  <si>
    <t>d51 * 1,2</t>
  </si>
  <si>
    <t>60 * 40 * 1,4</t>
  </si>
  <si>
    <t>42 * 21 * 1,0</t>
  </si>
  <si>
    <t>2,5*</t>
  </si>
  <si>
    <r>
      <t>Цена за 1 п.м. комплекта прямого не замкнутого участка</t>
    </r>
    <r>
      <rPr>
        <sz val="16"/>
        <rFont val="Arial"/>
        <family val="2"/>
        <charset val="204"/>
      </rPr>
      <t xml:space="preserve"> (столб d51 под бетон + панель + скоба-саморез/2,5)</t>
    </r>
    <r>
      <rPr>
        <b/>
        <sz val="16"/>
        <rFont val="Arial"/>
        <family val="2"/>
        <charset val="204"/>
      </rPr>
      <t xml:space="preserve">, руб.
</t>
    </r>
    <r>
      <rPr>
        <b/>
        <sz val="16"/>
        <color indexed="10"/>
        <rFont val="Arial"/>
        <family val="2"/>
        <charset val="204"/>
      </rPr>
      <t>Внимание! Расчет теоретический.</t>
    </r>
    <r>
      <rPr>
        <b/>
        <sz val="16"/>
        <rFont val="Arial"/>
        <family val="2"/>
        <charset val="204"/>
      </rPr>
      <t xml:space="preserve"> Продажа ведется по ЭЛЕМЕНТАМ и расчет по конкретному участку будет отличаться!</t>
    </r>
  </si>
  <si>
    <t>Элементы Ограждения Optima</t>
  </si>
  <si>
    <t>* - поддерживаются на складе в цинке
** - поддерживаются на складе в 6005</t>
  </si>
  <si>
    <t>2,5**</t>
  </si>
  <si>
    <t>1,5**</t>
  </si>
  <si>
    <r>
      <t>Элементы модульных ограждений Grand Line</t>
    </r>
    <r>
      <rPr>
        <b/>
        <vertAlign val="superscript"/>
        <sz val="20"/>
        <color indexed="10"/>
        <rFont val="Arial"/>
        <family val="2"/>
        <charset val="204"/>
      </rPr>
      <t>®</t>
    </r>
  </si>
  <si>
    <t>3,0**</t>
  </si>
  <si>
    <t xml:space="preserve">№1 -  поддерживаются на складе в цинке   </t>
  </si>
  <si>
    <t>примечание, №</t>
  </si>
  <si>
    <t>2,3,4</t>
  </si>
  <si>
    <t>примечания:
№1 - поддерживается на складе в цинке</t>
  </si>
  <si>
    <t>примечания:
№2 - поддерживается на складе в цвете RAL 6005
№3 - поддерживается на складе в цвете RAL 8017
№4 - поддерживается на складе в цвете RAL 3005
№5 - поддерживается на складе в цвете RAL 7040</t>
  </si>
  <si>
    <t xml:space="preserve">треугольный или прямоугольный </t>
  </si>
  <si>
    <t xml:space="preserve">квадратный </t>
  </si>
  <si>
    <r>
      <t xml:space="preserve">Винтовая опора на фланце
</t>
    </r>
    <r>
      <rPr>
        <sz val="16"/>
        <rFont val="Arial"/>
        <family val="2"/>
        <charset val="204"/>
      </rPr>
      <t>76 (d опоры) х 210 (d фланца) х 2,5 (толщ. стали) мм</t>
    </r>
  </si>
  <si>
    <r>
      <t xml:space="preserve">Винтовая опора без фланца
</t>
    </r>
    <r>
      <rPr>
        <sz val="16"/>
        <rFont val="Arial"/>
        <family val="2"/>
        <charset val="204"/>
      </rPr>
      <t>114 (d опоры) х 2,5 (толщ. стали) мм</t>
    </r>
  </si>
  <si>
    <t>1,2 м</t>
  </si>
  <si>
    <t>1,5 м</t>
  </si>
  <si>
    <t>1,8 м</t>
  </si>
  <si>
    <r>
      <rPr>
        <b/>
        <u/>
        <sz val="16"/>
        <color theme="1" tint="0.249977111117893"/>
        <rFont val="Arial"/>
        <family val="2"/>
        <charset val="204"/>
      </rPr>
      <t>Стандартные цвета:</t>
    </r>
    <r>
      <rPr>
        <b/>
        <sz val="16"/>
        <color theme="1" tint="0.249977111117893"/>
        <rFont val="Arial"/>
        <family val="2"/>
        <charset val="204"/>
      </rPr>
      <t xml:space="preserve">  зеленый RAL 6005, синий RAL 5005,  серый RAL 7040, белый RAL 9016, желтый RAL 1021, красный RAL 3020, вишневый RAL 3005, коричневый RAL 8017, черный RAL 9005, бежевый RAL 1014 </t>
    </r>
  </si>
  <si>
    <r>
      <rPr>
        <b/>
        <u/>
        <sz val="16"/>
        <color theme="1" tint="0.249977111117893"/>
        <rFont val="Arial"/>
        <family val="2"/>
        <charset val="204"/>
      </rPr>
      <t>Остальные цвета по запросу:</t>
    </r>
    <r>
      <rPr>
        <b/>
        <sz val="16"/>
        <color theme="1" tint="0.249977111117893"/>
        <rFont val="Arial"/>
        <family val="2"/>
        <charset val="204"/>
      </rPr>
      <t xml:space="preserve"> согласно RAL с наценкой  10%, в количестве не менее 300 погонных метров</t>
    </r>
  </si>
  <si>
    <r>
      <rPr>
        <b/>
        <sz val="16"/>
        <rFont val="Arial"/>
        <family val="2"/>
        <charset val="204"/>
      </rPr>
      <t>Внимание!</t>
    </r>
    <r>
      <rPr>
        <b/>
        <sz val="16"/>
        <color theme="1" tint="0.249977111117893"/>
        <rFont val="Arial"/>
        <family val="2"/>
        <charset val="204"/>
      </rPr>
      <t xml:space="preserve"> Продажа панельных ограждений ведется комплектно. Отдельно крепления, столбы или панели не продаются.</t>
    </r>
  </si>
  <si>
    <t>Производство не складских панелей LIGHT - только от 500 штук. 
Покраска панелей LIGHT в цвета кроме RAL6005 - только от 500 шт.</t>
  </si>
  <si>
    <t>Заказы на ограждение PROTECT принимаются от 50 шт</t>
  </si>
  <si>
    <r>
      <t xml:space="preserve">Секция временного ограждения (комплект) </t>
    </r>
    <r>
      <rPr>
        <b/>
        <sz val="16"/>
        <color indexed="10"/>
        <rFont val="Arial"/>
        <family val="2"/>
        <charset val="204"/>
      </rPr>
      <t>NEW</t>
    </r>
  </si>
  <si>
    <r>
      <t xml:space="preserve">PE 0,45 </t>
    </r>
    <r>
      <rPr>
        <b/>
        <sz val="16"/>
        <color indexed="10"/>
        <rFont val="Arial"/>
        <family val="2"/>
        <charset val="204"/>
      </rPr>
      <t>NEW</t>
    </r>
  </si>
  <si>
    <t>Панель PROTECT
С ПОЛИМЕРНЫМ ПОКРЫТИЕМ
заполнение труба 40*20</t>
  </si>
  <si>
    <t>1,0/2,5</t>
  </si>
  <si>
    <t>2,0/2,5</t>
  </si>
  <si>
    <t>Длина, м
min / max</t>
  </si>
  <si>
    <t>Панель PROFI</t>
  </si>
  <si>
    <r>
      <t xml:space="preserve">Сетка сварная рулонная 
Moreda Rivere Trafilliers
Jarditor
</t>
    </r>
    <r>
      <rPr>
        <sz val="16"/>
        <rFont val="Arial"/>
        <family val="2"/>
        <charset val="204"/>
      </rPr>
      <t>цвет зеленый*</t>
    </r>
  </si>
  <si>
    <t>Штакетник 
круглый и прямоугольный</t>
  </si>
  <si>
    <t>Стандарт. цвета</t>
  </si>
  <si>
    <r>
      <t xml:space="preserve">Цена за 1 п.м. комплекта прямого не замкнутого участка </t>
    </r>
    <r>
      <rPr>
        <sz val="16"/>
        <rFont val="Arial"/>
        <family val="2"/>
        <charset val="204"/>
      </rPr>
      <t>(столб 62*55 под бетон+панель+крепеж L-кронштейн)</t>
    </r>
    <r>
      <rPr>
        <b/>
        <sz val="16"/>
        <rFont val="Arial"/>
        <family val="2"/>
        <charset val="204"/>
      </rPr>
      <t xml:space="preserve">, руб. </t>
    </r>
    <r>
      <rPr>
        <b/>
        <sz val="16"/>
        <color indexed="10"/>
        <rFont val="Arial"/>
        <family val="2"/>
        <charset val="204"/>
      </rPr>
      <t>Внимание! Расчет теоретический.</t>
    </r>
    <r>
      <rPr>
        <b/>
        <sz val="16"/>
        <rFont val="Arial"/>
        <family val="2"/>
        <charset val="204"/>
      </rPr>
      <t xml:space="preserve"> Продажа ведется по ЭЛЕМЕНТАМ и расчет по конкретному участку будет отличаться!</t>
    </r>
  </si>
  <si>
    <t>1. Привод Nice (Италия) Road400KIT (для ворот до 6 м) или Road500KIT (для ворот более 6,5 м)
2. Встроенный блок управления
3. Встроенный радиоприемник</t>
  </si>
  <si>
    <r>
      <t>Откатные ворота Grand Line</t>
    </r>
    <r>
      <rPr>
        <b/>
        <vertAlign val="superscript"/>
        <sz val="20"/>
        <color indexed="10"/>
        <rFont val="Calibri"/>
        <family val="2"/>
        <charset val="204"/>
      </rPr>
      <t>®</t>
    </r>
  </si>
  <si>
    <t>Наименование 
Откатных ворот</t>
  </si>
  <si>
    <r>
      <t>Распашные ворота и калитки Grand Line</t>
    </r>
    <r>
      <rPr>
        <b/>
        <vertAlign val="superscript"/>
        <sz val="20"/>
        <color indexed="10"/>
        <rFont val="Arial Cyr"/>
        <charset val="204"/>
      </rPr>
      <t>®</t>
    </r>
  </si>
  <si>
    <r>
      <t xml:space="preserve">Засов для калиток и ворот Profi </t>
    </r>
    <r>
      <rPr>
        <b/>
        <sz val="16"/>
        <color indexed="10"/>
        <rFont val="Arial Cyr"/>
        <charset val="204"/>
      </rPr>
      <t>NEW</t>
    </r>
  </si>
  <si>
    <r>
      <rPr>
        <b/>
        <sz val="16"/>
        <rFont val="Arial Cyr"/>
        <charset val="204"/>
      </rPr>
      <t>Ворота:</t>
    </r>
    <r>
      <rPr>
        <sz val="16"/>
        <rFont val="Arial Cyr"/>
        <charset val="204"/>
      </rPr>
      <t xml:space="preserve"> 2 створки, 4 петли Locinox GBM12-150, 2 опорных ролика, 1 фиксатор створки
</t>
    </r>
    <r>
      <rPr>
        <b/>
        <sz val="16"/>
        <rFont val="Arial Cyr"/>
        <charset val="204"/>
      </rPr>
      <t>Калитка:</t>
    </r>
    <r>
      <rPr>
        <sz val="16"/>
        <rFont val="Arial Cyr"/>
        <charset val="204"/>
      </rPr>
      <t xml:space="preserve"> 1 створка, 2 петли Locinox GBM12-150, 1 фиксатор створки</t>
    </r>
  </si>
  <si>
    <t>Комплект ворот и калитки Medium NoLock 
(без замка)</t>
  </si>
  <si>
    <t>Комплект ворот и калитки Medium Lock 
(с замком)</t>
  </si>
  <si>
    <t>Комплект для автоматизации 
распашных ворот 
3,0 - 5,0м</t>
  </si>
  <si>
    <t>Комплект для автоматизации 
распашных ворот  
5,0 - 9,0м</t>
  </si>
  <si>
    <t>Комплектация ворот и калиток 
Profi, Премиум, Премиум плюс</t>
  </si>
  <si>
    <t>Высота/Ширина, м</t>
  </si>
  <si>
    <t>Карта Medium
(без ребер жесткости)</t>
  </si>
  <si>
    <t xml:space="preserve">Карта Medium
(без ребер жесткости) </t>
  </si>
  <si>
    <r>
      <t xml:space="preserve">Засов в сборе: 
</t>
    </r>
    <r>
      <rPr>
        <sz val="16"/>
        <color theme="1" tint="0.249977111117893"/>
        <rFont val="Arial"/>
        <family val="2"/>
        <charset val="204"/>
      </rPr>
      <t>основной кронштейн, ответная скоба, ось – ригель 20 мм, ручка</t>
    </r>
    <r>
      <rPr>
        <sz val="16"/>
        <rFont val="Arial"/>
        <family val="2"/>
        <charset val="204"/>
      </rPr>
      <t xml:space="preserve">
Саморезы 5,5 х 19 для крепления кронштейна и скобы–8 шт</t>
    </r>
  </si>
  <si>
    <t>1,65*1,0</t>
  </si>
  <si>
    <t xml:space="preserve"> 2,00*1,0</t>
  </si>
  <si>
    <t>2,00*1,0</t>
  </si>
  <si>
    <t xml:space="preserve"> 2,40*1,0</t>
  </si>
  <si>
    <t>2,40*3,6</t>
  </si>
  <si>
    <r>
      <t>Цена за 1 п.м. комплекта прямого не замкнутого участка</t>
    </r>
    <r>
      <rPr>
        <sz val="14"/>
        <rFont val="Arial"/>
        <family val="2"/>
        <charset val="204"/>
      </rPr>
      <t xml:space="preserve"> (столб 62*55 под бетон + панель + скоба-болт/2,5)</t>
    </r>
    <r>
      <rPr>
        <b/>
        <sz val="14"/>
        <rFont val="Arial"/>
        <family val="2"/>
        <charset val="204"/>
      </rPr>
      <t xml:space="preserve">, руб.
</t>
    </r>
    <r>
      <rPr>
        <b/>
        <sz val="14"/>
        <color indexed="10"/>
        <rFont val="Arial"/>
        <family val="2"/>
        <charset val="204"/>
      </rPr>
      <t>Внимание! Расчет теоретический.</t>
    </r>
    <r>
      <rPr>
        <b/>
        <sz val="14"/>
        <rFont val="Arial"/>
        <family val="2"/>
        <charset val="204"/>
      </rPr>
      <t xml:space="preserve"> Продажа ведется по ЭЛЕМЕНТАМ и расчет по конкретному участку будет отличаться!</t>
    </r>
  </si>
  <si>
    <t>Zn</t>
  </si>
  <si>
    <t>PE</t>
  </si>
  <si>
    <t>примечание №</t>
  </si>
  <si>
    <t>1,2,3</t>
  </si>
  <si>
    <t>1,2,3,4</t>
  </si>
  <si>
    <t>1,2,4</t>
  </si>
  <si>
    <t>0,63 х 2,5</t>
  </si>
  <si>
    <t>0,83 х 2,5</t>
  </si>
  <si>
    <t>1,23 х 2,5</t>
  </si>
  <si>
    <t>1,43 х 2,5</t>
  </si>
  <si>
    <t>1,93 х 2,5</t>
  </si>
  <si>
    <t>2,23 х 2,5</t>
  </si>
  <si>
    <t>2,63 х 2,4</t>
  </si>
  <si>
    <t>2,83 х 2,4</t>
  </si>
  <si>
    <t>3,03 х 2,4</t>
  </si>
  <si>
    <t>3,33 х 2,4</t>
  </si>
  <si>
    <t>1,03 х 2,5</t>
  </si>
  <si>
    <t>1,53 х 2,5</t>
  </si>
  <si>
    <t>1,73 х 2,5</t>
  </si>
  <si>
    <t>1,73 х 3,0</t>
  </si>
  <si>
    <t>2,03 х 2,5</t>
  </si>
  <si>
    <t>2,03 х 3,0</t>
  </si>
  <si>
    <t>2,43 х 2,5</t>
  </si>
  <si>
    <t>Высота х Ширина, м.</t>
  </si>
  <si>
    <t>№1 -  поддерживаются на складе в цинке</t>
  </si>
  <si>
    <t>Примечания:</t>
  </si>
  <si>
    <r>
      <rPr>
        <b/>
        <u/>
        <sz val="16"/>
        <rFont val="Arial"/>
        <family val="2"/>
        <charset val="204"/>
      </rPr>
      <t xml:space="preserve">Заказы в стандартных цветах: 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 xml:space="preserve">менее 150 погонных метров не принимаются
</t>
    </r>
    <r>
      <rPr>
        <b/>
        <u/>
        <sz val="16"/>
        <rFont val="Arial"/>
        <family val="2"/>
        <charset val="204"/>
      </rPr>
      <t>Остальные цвета по запросу</t>
    </r>
    <r>
      <rPr>
        <u/>
        <sz val="16"/>
        <rFont val="Arial"/>
        <family val="2"/>
        <charset val="204"/>
      </rPr>
      <t>:</t>
    </r>
    <r>
      <rPr>
        <sz val="16"/>
        <rFont val="Arial"/>
        <family val="2"/>
        <charset val="204"/>
      </rPr>
      <t xml:space="preserve"> 
согласно каталогу RAL с наценкой  10 %, в количестве не менее 300 погонных метров, при условии, что панели являются складскими в цинке </t>
    </r>
  </si>
  <si>
    <r>
      <t xml:space="preserve">Стандартные цвета:  
</t>
    </r>
    <r>
      <rPr>
        <sz val="16"/>
        <rFont val="Arial"/>
        <family val="2"/>
        <charset val="204"/>
      </rPr>
      <t xml:space="preserve">зеленый RAL 6005, синий RAL 5005,  серый RAL 7040, белый RAL 9016, желтый RAL 1021, красный RAL 3020, вишневый RAL 3005, коричневый RAL 8017, черный RAL 9005, бежевый RAL 1014 </t>
    </r>
  </si>
  <si>
    <t>Панели BASTION 5/6, BASTION 6/8</t>
  </si>
  <si>
    <t>Панели MEDIUM, PROFI, EXPERT</t>
  </si>
  <si>
    <t>1,63 х 2,5</t>
  </si>
  <si>
    <t>1,83 х 2,5</t>
  </si>
  <si>
    <t>3,23 х 2,4</t>
  </si>
  <si>
    <t>3,43 х 2,4</t>
  </si>
  <si>
    <t>Дополнительные комплектующие</t>
  </si>
  <si>
    <t>Столб оцинкованный
с отверстиями или резьбовыми втулками 
в профиле 90*55 и 62*55 и заглушкой</t>
  </si>
  <si>
    <t>**6060 (4040) – поддерживается на складе для 60 и 40 профиля</t>
  </si>
  <si>
    <t xml:space="preserve">*Стоимость комплекта складывается из замка (ручки, цилиндр, ключи – отдельно не продаются) и ответной планки
</t>
  </si>
  <si>
    <t>Дополнительно можно заказать любую продукцию из каталога Locinox, сроки поставки и цену узнавайте в отделах продаж</t>
  </si>
  <si>
    <t>Locinox - Элементы ограждений</t>
  </si>
  <si>
    <t>60 мм</t>
  </si>
  <si>
    <r>
      <t xml:space="preserve">Панель EXPERT
</t>
    </r>
    <r>
      <rPr>
        <b/>
        <sz val="16"/>
        <color rgb="FFFF0000"/>
        <rFont val="Arial"/>
        <family val="2"/>
        <charset val="204"/>
      </rPr>
      <t>Оцинкованная 
или 
Оцинкованная с Полимерным покрытием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theme="1" tint="0.249977111117893"/>
        <rFont val="Arial"/>
        <family val="2"/>
        <charset val="204"/>
      </rPr>
      <t xml:space="preserve">ячейка основная 200х55 мм
диаметр прутка  
</t>
    </r>
    <r>
      <rPr>
        <b/>
        <sz val="14"/>
        <color theme="1" tint="0.249977111117893"/>
        <rFont val="Arial"/>
        <family val="2"/>
        <charset val="204"/>
      </rPr>
      <t>оцинкованного 6,0 мм
с полимерным прокрытием 6,2 мм</t>
    </r>
  </si>
  <si>
    <r>
      <t xml:space="preserve">Панель BASTION 6/8
</t>
    </r>
    <r>
      <rPr>
        <b/>
        <sz val="16"/>
        <color rgb="FFFF0000"/>
        <rFont val="Arial"/>
        <family val="2"/>
        <charset val="204"/>
      </rPr>
      <t>Оцинкованная или 
Оцинкованная с Полимерным покрытием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theme="1" tint="0.249977111117893"/>
        <rFont val="Arial"/>
        <family val="2"/>
        <charset val="204"/>
      </rPr>
      <t xml:space="preserve">ячейка основная 200х55 мм 
диаметр оцинкованного прутка
</t>
    </r>
    <r>
      <rPr>
        <b/>
        <sz val="14"/>
        <color theme="1" tint="0.249977111117893"/>
        <rFont val="Arial"/>
        <family val="2"/>
        <charset val="204"/>
      </rPr>
      <t>вертикального 6,0 мм 
горизонтального 8,0 мм</t>
    </r>
    <r>
      <rPr>
        <b/>
        <u/>
        <sz val="14"/>
        <color theme="1" tint="0.249977111117893"/>
        <rFont val="Arial"/>
        <family val="2"/>
        <charset val="204"/>
      </rPr>
      <t/>
    </r>
  </si>
  <si>
    <r>
      <t xml:space="preserve">Крепление скоба - винт 
</t>
    </r>
    <r>
      <rPr>
        <sz val="16"/>
        <rFont val="Arial"/>
        <family val="2"/>
        <charset val="204"/>
      </rPr>
      <t>(винт М6*30)</t>
    </r>
  </si>
  <si>
    <t>** - поддерживаются на складе в полимерном покрытии: цвет зеленый RAL 6005, серый RAL 7040</t>
  </si>
  <si>
    <t>Внимание! Продажа панельных ограждений ведется комплектно. Отдельно панели, крепления, столбы, винтовые опоры и т.д. не продаются.</t>
  </si>
  <si>
    <r>
      <t xml:space="preserve">Эконом NEW
</t>
    </r>
    <r>
      <rPr>
        <sz val="16"/>
        <rFont val="Arial"/>
        <family val="2"/>
        <charset val="204"/>
      </rPr>
      <t>(без заполнения)</t>
    </r>
  </si>
  <si>
    <r>
      <t xml:space="preserve">Калитка Эконом
</t>
    </r>
    <r>
      <rPr>
        <b/>
        <sz val="16"/>
        <color rgb="FFFF0000"/>
        <rFont val="Arial"/>
        <family val="2"/>
        <charset val="204"/>
      </rPr>
      <t>(без заполнения)</t>
    </r>
  </si>
  <si>
    <r>
      <t xml:space="preserve">Ворота Эконом
</t>
    </r>
    <r>
      <rPr>
        <b/>
        <sz val="16"/>
        <color rgb="FFFF0000"/>
        <rFont val="Arial"/>
        <family val="2"/>
        <charset val="204"/>
      </rPr>
      <t>(без заполнения)</t>
    </r>
  </si>
  <si>
    <r>
      <rPr>
        <b/>
        <sz val="16"/>
        <rFont val="Arial Cyr"/>
        <charset val="204"/>
      </rPr>
      <t xml:space="preserve">Ворота: </t>
    </r>
    <r>
      <rPr>
        <sz val="16"/>
        <rFont val="Arial Cyr"/>
        <charset val="204"/>
      </rPr>
      <t xml:space="preserve">2 створки, 2 опорных столба, петли  Locinox GAM12, угол открывания 130 град, притворная планка, ригель
</t>
    </r>
    <r>
      <rPr>
        <b/>
        <sz val="16"/>
        <rFont val="Arial Cyr"/>
        <charset val="204"/>
      </rPr>
      <t xml:space="preserve">Калитка: </t>
    </r>
    <r>
      <rPr>
        <sz val="16"/>
        <rFont val="Arial Cyr"/>
        <charset val="204"/>
      </rPr>
      <t>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 xml:space="preserve">створка, 2 опорных столба, петли  Locinox GAM12, притворная планка, угол открывания 130 град
</t>
    </r>
    <r>
      <rPr>
        <sz val="16"/>
        <color rgb="FFFF0000"/>
        <rFont val="Arial Cyr"/>
        <charset val="204"/>
      </rPr>
      <t>В комплект поставки ворот и калиток Эконом заполнение не входит. Заполенение приобретается отдельно.</t>
    </r>
  </si>
  <si>
    <r>
      <rPr>
        <b/>
        <sz val="16"/>
        <rFont val="Arial Cyr"/>
        <charset val="204"/>
      </rPr>
      <t xml:space="preserve">Ворота: </t>
    </r>
    <r>
      <rPr>
        <sz val="16"/>
        <rFont val="Arial Cyr"/>
        <charset val="204"/>
      </rPr>
      <t xml:space="preserve">2 створки, 2 опорных столба, петли  Locinox GAM12, угол открывания 130 град, ригель, ответная планка
</t>
    </r>
    <r>
      <rPr>
        <b/>
        <sz val="16"/>
        <rFont val="Arial Cyr"/>
        <charset val="204"/>
      </rPr>
      <t xml:space="preserve">Калитка: </t>
    </r>
    <r>
      <rPr>
        <sz val="16"/>
        <rFont val="Arial Cyr"/>
        <charset val="204"/>
      </rPr>
      <t>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створка, 2 опорных столба, петли  Locinox GAM12, ответная планка, угол открывания 130 град</t>
    </r>
  </si>
  <si>
    <r>
      <rPr>
        <b/>
        <sz val="16"/>
        <rFont val="Arial"/>
        <family val="2"/>
        <charset val="204"/>
      </rPr>
      <t>Комплект ворот включает в себя:</t>
    </r>
    <r>
      <rPr>
        <sz val="16"/>
        <rFont val="Arial"/>
        <family val="2"/>
        <charset val="204"/>
      </rPr>
      <t xml:space="preserve">
2 створки ворот, 2 опорных столба, регулируемые петли, угол открывания 180 град, замок Locinox, ответная планка, 2 ригеля Locinox для фиксации створок в землю </t>
    </r>
    <r>
      <rPr>
        <b/>
        <sz val="16"/>
        <rFont val="Arial"/>
        <family val="2"/>
        <charset val="204"/>
      </rPr>
      <t xml:space="preserve">
Комплект калитки включает в себя:</t>
    </r>
    <r>
      <rPr>
        <sz val="16"/>
        <rFont val="Arial"/>
        <family val="2"/>
        <charset val="204"/>
      </rPr>
      <t xml:space="preserve">
створка, 2 столба, регулируемые петли, угол открывания 180 град, ответная планка, замок Locinox</t>
    </r>
  </si>
  <si>
    <t>SAMSON-2</t>
  </si>
  <si>
    <t>Доводчик</t>
  </si>
  <si>
    <t>2,4,5</t>
  </si>
  <si>
    <t>Элемент модульных ограждений Grand Line®:
Стойка 84х48 -1шт
Направляющая 60х20 - 1шт
Крышка универсальная - 1шт
Панель PROFI или MEDIUM - 1шт
Крепление две скобы+болт М6х40 - 2шт на 1 пару стоек
Заклепки, окрашенные в цвет ограждения</t>
  </si>
  <si>
    <t xml:space="preserve">№2 -  поддерживаются на складе в полимерном покрытии: цвет зеленый RAL 6005 </t>
  </si>
  <si>
    <t>№3 - поддерживаются на складе в полимерном покрытии: серый RAL 7040</t>
  </si>
  <si>
    <t>№4 - поддерживаются на складе в полимерном покрытии: коричневый RAL 8017</t>
  </si>
  <si>
    <t>№5 - поддерживаются на складе в полимерном покрытии: вишневый RAL 3005</t>
  </si>
  <si>
    <t>№2 -  поддерживаются на складе в полимерном покрытии: цвет зеленый RAL 6005</t>
  </si>
  <si>
    <t>№3 -  поддерживаются на складе в полимерном покрытии: цвет коричневый RAL 8017</t>
  </si>
  <si>
    <t>№4 -  поддерживаются на складе в полимерном покрытии: цвет серый RAL 7040</t>
  </si>
  <si>
    <t>Комплект: Врезной замок FORTYLOCK*</t>
  </si>
  <si>
    <t xml:space="preserve">FORTYLOCKSET40ALUSTD </t>
  </si>
  <si>
    <t>40 мм</t>
  </si>
  <si>
    <t>3012-54-STD-VSZ, 3 штуки</t>
  </si>
  <si>
    <t>Ответная планка SFKI</t>
  </si>
  <si>
    <t>Ответная планка SHKM</t>
  </si>
  <si>
    <r>
      <t>Панель Profi / Bastion</t>
    </r>
    <r>
      <rPr>
        <vertAlign val="superscript"/>
        <sz val="16"/>
        <rFont val="Arial"/>
        <family val="2"/>
        <charset val="204"/>
      </rPr>
      <t>1</t>
    </r>
  </si>
  <si>
    <r>
      <t>Распашные ворота Profi / Bastion</t>
    </r>
    <r>
      <rPr>
        <vertAlign val="superscript"/>
        <sz val="16"/>
        <rFont val="Arial"/>
        <family val="2"/>
        <charset val="204"/>
      </rPr>
      <t>1</t>
    </r>
  </si>
  <si>
    <r>
      <t>Калитка Profi / Bastion</t>
    </r>
    <r>
      <rPr>
        <vertAlign val="superscript"/>
        <sz val="16"/>
        <rFont val="Arial"/>
        <family val="2"/>
        <charset val="204"/>
      </rPr>
      <t>1</t>
    </r>
  </si>
  <si>
    <t>Доступные на складе размеры и цвета ворот и калиток Bastion и Protect уточняйте у менеджера</t>
  </si>
  <si>
    <r>
      <rPr>
        <vertAlign val="superscript"/>
        <sz val="16"/>
        <rFont val="Arial"/>
        <family val="2"/>
        <charset val="204"/>
      </rPr>
      <t xml:space="preserve">1 </t>
    </r>
    <r>
      <rPr>
        <sz val="16"/>
        <rFont val="Arial"/>
        <family val="2"/>
        <charset val="204"/>
      </rPr>
      <t>Возможно производство калиток и  ворот Bastion (цена = стоимость калиток и ворот Profi + наценка 10%)</t>
    </r>
  </si>
  <si>
    <t>Наконечник L приваренный к столбу 62х55</t>
  </si>
  <si>
    <t>Наконечник V приваренный к столбу 62х55</t>
  </si>
  <si>
    <r>
      <t xml:space="preserve">Фланец приваренный оцинкованный с полимерным покрытием
</t>
    </r>
    <r>
      <rPr>
        <i/>
        <sz val="16"/>
        <rFont val="Arial"/>
        <family val="2"/>
        <charset val="204"/>
      </rPr>
      <t xml:space="preserve">Внимание! 
Возможно </t>
    </r>
    <r>
      <rPr>
        <i/>
        <u/>
        <sz val="16"/>
        <rFont val="Arial"/>
        <family val="2"/>
        <charset val="204"/>
      </rPr>
      <t>только</t>
    </r>
    <r>
      <rPr>
        <i/>
        <sz val="16"/>
        <rFont val="Arial"/>
        <family val="2"/>
        <charset val="204"/>
      </rPr>
      <t xml:space="preserve"> для столбов высотой </t>
    </r>
    <r>
      <rPr>
        <i/>
        <u/>
        <sz val="16"/>
        <rFont val="Arial"/>
        <family val="2"/>
        <charset val="204"/>
      </rPr>
      <t>до 3 метров</t>
    </r>
  </si>
  <si>
    <r>
      <t xml:space="preserve">Усиление фланца косынками
</t>
    </r>
    <r>
      <rPr>
        <i/>
        <sz val="16"/>
        <rFont val="Arial"/>
        <family val="2"/>
        <charset val="204"/>
      </rPr>
      <t xml:space="preserve">Внимание! Обязательно для столбов высотой </t>
    </r>
    <r>
      <rPr>
        <i/>
        <u/>
        <sz val="16"/>
        <rFont val="Arial"/>
        <family val="2"/>
        <charset val="204"/>
      </rPr>
      <t>более 3 метров</t>
    </r>
  </si>
  <si>
    <t>руб</t>
  </si>
  <si>
    <t>1 шт</t>
  </si>
  <si>
    <t>к столбу 62*55, 90*55 или 80*80</t>
  </si>
  <si>
    <t>к столбу 80*80 или 90*55</t>
  </si>
  <si>
    <t>Крепление к столбам ворот / калиток</t>
  </si>
  <si>
    <t>Назначение</t>
  </si>
  <si>
    <t>Состав комплекта</t>
  </si>
  <si>
    <t>Основные характеристики</t>
  </si>
  <si>
    <t>Способ управления</t>
  </si>
  <si>
    <t>Наименование 
Шлагбаума</t>
  </si>
  <si>
    <t>Для проездов шириной 
до 4 метров</t>
  </si>
  <si>
    <t>Для проездов шириной 
до 5 метров</t>
  </si>
  <si>
    <t>тумба шлагбаума WIDES - 1 шт 
стрела XBA19 - 1 шт 
защитный демпфер XBA13 - 1 упак
светоотражающие наклейки NK1 - 1 компл</t>
  </si>
  <si>
    <t>тумба шлагбаума WIDEM - 1 шт 
стрела XBA19 - 1 шт
защитный демпфер XBA13 - 1 упак
светоотражающие наклейки NK1 - 1 компл</t>
  </si>
  <si>
    <t>тумба шлагбаума WIDEL - 1 шт 
стрела XBA5 - 1 шт
защитный демпфер XBA13 - 1 упак
светоотражающие наклейки NK1 - 1 компл</t>
  </si>
  <si>
    <r>
      <t>Откатные ворота Grand Line</t>
    </r>
    <r>
      <rPr>
        <b/>
        <vertAlign val="superscript"/>
        <sz val="20"/>
        <color indexed="10"/>
        <rFont val="Calibri"/>
        <family val="2"/>
        <charset val="204"/>
      </rPr>
      <t xml:space="preserve">® </t>
    </r>
    <r>
      <rPr>
        <b/>
        <sz val="20"/>
        <color indexed="10"/>
        <rFont val="Arial"/>
        <family val="2"/>
        <charset val="204"/>
      </rPr>
      <t>и  Шлагбаумы</t>
    </r>
  </si>
  <si>
    <r>
      <rPr>
        <b/>
        <sz val="14"/>
        <rFont val="Arial"/>
        <family val="2"/>
        <charset val="204"/>
      </rPr>
      <t xml:space="preserve">интенсивность - </t>
    </r>
    <r>
      <rPr>
        <sz val="14"/>
        <rFont val="Arial"/>
        <family val="2"/>
        <charset val="204"/>
      </rPr>
      <t xml:space="preserve">100 циклов в час
</t>
    </r>
    <r>
      <rPr>
        <b/>
        <sz val="14"/>
        <rFont val="Arial"/>
        <family val="2"/>
        <charset val="204"/>
      </rPr>
      <t xml:space="preserve">время открытия - </t>
    </r>
    <r>
      <rPr>
        <sz val="14"/>
        <rFont val="Arial"/>
        <family val="2"/>
        <charset val="204"/>
      </rPr>
      <t>4 сек</t>
    </r>
  </si>
  <si>
    <r>
      <rPr>
        <b/>
        <sz val="14"/>
        <rFont val="Arial"/>
        <family val="2"/>
        <charset val="204"/>
      </rPr>
      <t>интенсивность</t>
    </r>
    <r>
      <rPr>
        <sz val="14"/>
        <rFont val="Arial"/>
        <family val="2"/>
        <charset val="204"/>
      </rPr>
      <t xml:space="preserve"> - 300 циклов в час
</t>
    </r>
    <r>
      <rPr>
        <b/>
        <sz val="14"/>
        <rFont val="Arial"/>
        <family val="2"/>
        <charset val="204"/>
      </rPr>
      <t>время открытия</t>
    </r>
    <r>
      <rPr>
        <sz val="14"/>
        <rFont val="Arial"/>
        <family val="2"/>
        <charset val="204"/>
      </rPr>
      <t xml:space="preserve"> - 3,5 сек</t>
    </r>
  </si>
  <si>
    <r>
      <rPr>
        <b/>
        <sz val="14"/>
        <rFont val="Arial"/>
        <family val="2"/>
        <charset val="204"/>
      </rPr>
      <t>интенсивность</t>
    </r>
    <r>
      <rPr>
        <sz val="14"/>
        <rFont val="Arial"/>
        <family val="2"/>
        <charset val="204"/>
      </rPr>
      <t xml:space="preserve"> - 200 циклов в час
</t>
    </r>
    <r>
      <rPr>
        <b/>
        <sz val="14"/>
        <rFont val="Arial"/>
        <family val="2"/>
        <charset val="204"/>
      </rPr>
      <t>время открытия</t>
    </r>
    <r>
      <rPr>
        <sz val="14"/>
        <rFont val="Arial"/>
        <family val="2"/>
        <charset val="204"/>
      </rPr>
      <t xml:space="preserve"> - 5 сек</t>
    </r>
  </si>
  <si>
    <t>1. Рейка оцинкованная зубчатая ROA8
2. Профиль С</t>
  </si>
  <si>
    <t>3. Болт с полукруглой головкой
4. Пластина закладная для профиля С</t>
  </si>
  <si>
    <t>5. Скоба для профиля С</t>
  </si>
  <si>
    <t>Дополнительно возможно приобрести</t>
  </si>
  <si>
    <r>
      <rPr>
        <b/>
        <sz val="16"/>
        <color indexed="10"/>
        <rFont val="Arial"/>
        <family val="2"/>
        <charset val="204"/>
      </rPr>
      <t>Отк</t>
    </r>
    <r>
      <rPr>
        <b/>
        <sz val="16"/>
        <color rgb="FFFF0000"/>
        <rFont val="Arial"/>
        <family val="2"/>
        <charset val="204"/>
      </rPr>
      <t>атные ворота Profi воз</t>
    </r>
    <r>
      <rPr>
        <b/>
        <sz val="16"/>
        <rFont val="Arial"/>
        <family val="2"/>
        <charset val="204"/>
      </rPr>
      <t xml:space="preserve">можно заказать в исполнении </t>
    </r>
    <r>
      <rPr>
        <b/>
        <sz val="16"/>
        <color rgb="FFFF0000"/>
        <rFont val="Arial"/>
        <family val="2"/>
        <charset val="204"/>
      </rPr>
      <t>с механическим замком</t>
    </r>
    <r>
      <rPr>
        <b/>
        <sz val="16"/>
        <rFont val="Arial"/>
        <family val="2"/>
        <charset val="204"/>
      </rPr>
      <t>. 
Данную опцию необходимо указать при размещении заказа на производство, к стоимости ворот добавится стоимость замка</t>
    </r>
  </si>
  <si>
    <r>
      <rPr>
        <b/>
        <sz val="16"/>
        <rFont val="Arial"/>
        <family val="2"/>
        <charset val="204"/>
      </rPr>
      <t>комплект шлагбаума</t>
    </r>
    <r>
      <rPr>
        <sz val="16"/>
        <rFont val="Arial"/>
        <family val="2"/>
        <charset val="204"/>
      </rPr>
      <t xml:space="preserve">
WIDEL5KIT/RU01</t>
    </r>
  </si>
  <si>
    <t>Шлагбаумы</t>
  </si>
  <si>
    <r>
      <rPr>
        <b/>
        <sz val="16"/>
        <rFont val="Arial"/>
        <family val="2"/>
        <charset val="204"/>
      </rPr>
      <t xml:space="preserve">тумба шлагбаума </t>
    </r>
    <r>
      <rPr>
        <sz val="16"/>
        <rFont val="Arial"/>
        <family val="2"/>
        <charset val="204"/>
      </rPr>
      <t xml:space="preserve">
M5BAR</t>
    </r>
  </si>
  <si>
    <r>
      <rPr>
        <b/>
        <sz val="16"/>
        <rFont val="Arial"/>
        <family val="2"/>
        <charset val="204"/>
      </rPr>
      <t xml:space="preserve">стрела шлагбаума </t>
    </r>
    <r>
      <rPr>
        <sz val="16"/>
        <rFont val="Arial"/>
        <family val="2"/>
        <charset val="204"/>
      </rPr>
      <t xml:space="preserve">
ХBA5 
69х92х5150 мм</t>
    </r>
  </si>
  <si>
    <t>Применяется к тумбе M5BAR</t>
  </si>
  <si>
    <t>тумба шлагбаума SBAR - 1 шт
стрела XBA19 - 1 шт
защитный демпфер XBA13 - 1 упак
интегрируемая сигнальная лампа XBA7 - 1 шт
светоотражающие наклейки NK1 - 1 компл</t>
  </si>
  <si>
    <t>тумба шлагбаума M5BAR
(Без стрелы)</t>
  </si>
  <si>
    <t>стрела из окрашенного алюминия 
69х92х5150 мм</t>
  </si>
  <si>
    <r>
      <rPr>
        <b/>
        <sz val="14"/>
        <rFont val="Arial"/>
        <family val="2"/>
        <charset val="204"/>
      </rPr>
      <t>интенсивность</t>
    </r>
    <r>
      <rPr>
        <sz val="14"/>
        <rFont val="Arial"/>
        <family val="2"/>
        <charset val="204"/>
      </rPr>
      <t xml:space="preserve"> - 100 циклов в час
</t>
    </r>
    <r>
      <rPr>
        <b/>
        <sz val="14"/>
        <rFont val="Arial"/>
        <family val="2"/>
        <charset val="204"/>
      </rPr>
      <t>время открытия</t>
    </r>
    <r>
      <rPr>
        <sz val="14"/>
        <rFont val="Arial"/>
        <family val="2"/>
        <charset val="204"/>
      </rPr>
      <t xml:space="preserve"> - 4секунды</t>
    </r>
  </si>
  <si>
    <r>
      <rPr>
        <b/>
        <sz val="14"/>
        <rFont val="Arial"/>
        <family val="2"/>
        <charset val="204"/>
      </rPr>
      <t>интенсивность</t>
    </r>
    <r>
      <rPr>
        <sz val="14"/>
        <rFont val="Arial"/>
        <family val="2"/>
        <charset val="204"/>
      </rPr>
      <t xml:space="preserve"> - 350 циклов в час
в</t>
    </r>
    <r>
      <rPr>
        <b/>
        <sz val="14"/>
        <rFont val="Arial"/>
        <family val="2"/>
        <charset val="204"/>
      </rPr>
      <t>ремя открытия</t>
    </r>
    <r>
      <rPr>
        <sz val="14"/>
        <rFont val="Arial"/>
        <family val="2"/>
        <charset val="204"/>
      </rPr>
      <t xml:space="preserve"> - 4 сек</t>
    </r>
  </si>
  <si>
    <r>
      <rPr>
        <b/>
        <sz val="14"/>
        <rFont val="Arial"/>
        <family val="2"/>
        <charset val="204"/>
      </rPr>
      <t>длина</t>
    </r>
    <r>
      <rPr>
        <sz val="14"/>
        <rFont val="Arial"/>
        <family val="2"/>
        <charset val="204"/>
      </rPr>
      <t xml:space="preserve"> - 5150 мм</t>
    </r>
  </si>
  <si>
    <t>Для передачи сигнала радиоуправления</t>
  </si>
  <si>
    <t>Для приема сигнала радиоуправления</t>
  </si>
  <si>
    <t>Подставка под стрелу применяется для опоры стрелы</t>
  </si>
  <si>
    <t>Лампа сигнальная 12v вольт Усиление сигнала ПДУ</t>
  </si>
  <si>
    <t>Лампа сигнальная 24v вольт  Усиление сигнала ПДУ</t>
  </si>
  <si>
    <t>Пульт управления FLO2R-S</t>
  </si>
  <si>
    <t>Приемник OXI</t>
  </si>
  <si>
    <t>Стационарная опора для стрелы</t>
  </si>
  <si>
    <t>Лампа сигнальная ЕLB - 12v</t>
  </si>
  <si>
    <t>Лампа сигнальная ЕL24 - 24v</t>
  </si>
  <si>
    <t xml:space="preserve"> для шлагбаумов серии BAR</t>
  </si>
  <si>
    <t xml:space="preserve"> для шлагбаумов серии WIDE</t>
  </si>
  <si>
    <r>
      <rPr>
        <b/>
        <sz val="16"/>
        <rFont val="Arial"/>
        <family val="2"/>
        <charset val="204"/>
      </rPr>
      <t>комплект шлагбаума</t>
    </r>
    <r>
      <rPr>
        <sz val="16"/>
        <rFont val="Arial"/>
        <family val="2"/>
        <charset val="204"/>
      </rPr>
      <t xml:space="preserve">
WIDES4KIT/RU01*</t>
    </r>
  </si>
  <si>
    <r>
      <rPr>
        <b/>
        <sz val="16"/>
        <rFont val="Arial"/>
        <family val="2"/>
        <charset val="204"/>
      </rPr>
      <t>комплект шлагбаума</t>
    </r>
    <r>
      <rPr>
        <sz val="16"/>
        <rFont val="Arial"/>
        <family val="2"/>
        <charset val="204"/>
      </rPr>
      <t xml:space="preserve">
WIDEM4KIT/RU01*</t>
    </r>
  </si>
  <si>
    <r>
      <rPr>
        <b/>
        <sz val="16"/>
        <rFont val="Arial"/>
        <family val="2"/>
        <charset val="204"/>
      </rPr>
      <t xml:space="preserve">комплект шлагбаума </t>
    </r>
    <r>
      <rPr>
        <sz val="16"/>
        <rFont val="Arial"/>
        <family val="2"/>
        <charset val="204"/>
      </rPr>
      <t xml:space="preserve">
SBAR4KIT/RU01*</t>
    </r>
  </si>
  <si>
    <t>пульт ду 2к с динамическим кодом FLO2R-S*</t>
  </si>
  <si>
    <t>приемник c динамическим кодом OXI (разъем SM)*</t>
  </si>
  <si>
    <t>подставка стрелы 
wa 11*</t>
  </si>
  <si>
    <t>лампа сигнальная 
12v ЕLB*</t>
  </si>
  <si>
    <t>лампа сигнальная 
24v ЕL24*</t>
  </si>
  <si>
    <t>Полупрофессиональная серия с гарантированным ресурсом 500 000 циклов.</t>
  </si>
  <si>
    <t>Профессиональная серия с гарантированным ресурсом 1 000 000 циклов.</t>
  </si>
  <si>
    <r>
      <t xml:space="preserve">1.Кнопочным постом
(в комплект не входит, 
</t>
    </r>
    <r>
      <rPr>
        <sz val="14"/>
        <rFont val="Arial"/>
        <family val="2"/>
        <charset val="204"/>
      </rPr>
      <t>доступно у поставщика оборудования</t>
    </r>
    <r>
      <rPr>
        <sz val="16"/>
        <rFont val="Arial"/>
        <family val="2"/>
        <charset val="204"/>
      </rPr>
      <t xml:space="preserve">)
2. Радиоуправлением 
(в комплект не входит, 
</t>
    </r>
    <r>
      <rPr>
        <sz val="14"/>
        <rFont val="Arial"/>
        <family val="2"/>
        <charset val="204"/>
      </rPr>
      <t>доступно на складе Grand Line - см. ниже</t>
    </r>
    <r>
      <rPr>
        <sz val="16"/>
        <rFont val="Arial"/>
        <family val="2"/>
        <charset val="204"/>
      </rPr>
      <t>)</t>
    </r>
  </si>
  <si>
    <t>Дополнительное Оборудование</t>
  </si>
  <si>
    <t>Аксессуары</t>
  </si>
  <si>
    <t>Радиоуправление</t>
  </si>
  <si>
    <t>Расчет стоимости столбов с фланцами:</t>
  </si>
  <si>
    <t>стоимость столба + стоимость фланца + стоимость усиления фланца</t>
  </si>
  <si>
    <t>1,0 - 2,4 м</t>
  </si>
  <si>
    <t>2,4 - 3,0 м</t>
  </si>
  <si>
    <t>3,0 - 4,0 м</t>
  </si>
  <si>
    <t>сечение столба</t>
  </si>
  <si>
    <t>60х60х2,0 мм</t>
  </si>
  <si>
    <t>62х55х1,4 мм</t>
  </si>
  <si>
    <t>80х80х2,0 мм</t>
  </si>
  <si>
    <t>90х55х1,6 мм</t>
  </si>
  <si>
    <t>не применяется</t>
  </si>
  <si>
    <r>
      <t xml:space="preserve">фланец без усиления 
</t>
    </r>
    <r>
      <rPr>
        <sz val="14"/>
        <rFont val="Arial"/>
        <family val="2"/>
        <charset val="204"/>
      </rPr>
      <t>не применяется</t>
    </r>
    <r>
      <rPr>
        <b/>
        <sz val="14"/>
        <rFont val="Arial"/>
        <family val="2"/>
        <charset val="204"/>
      </rPr>
      <t xml:space="preserve">
фланец усиленный 
</t>
    </r>
    <r>
      <rPr>
        <sz val="14"/>
        <rFont val="Arial"/>
        <family val="2"/>
        <charset val="204"/>
      </rPr>
      <t>1-2 ветровые районы</t>
    </r>
  </si>
  <si>
    <r>
      <t>Типы местности:
"</t>
    </r>
    <r>
      <rPr>
        <sz val="16"/>
        <rFont val="Arial"/>
        <family val="2"/>
        <charset val="204"/>
      </rPr>
      <t>А" - открытые побережья морей, озёр и водохранилищ, пустыни, степи, лесостепи, тундра
"B" - городские территории, лесные массивы и другие местности равномерно покрытые препятствиями высотой не более 10 метров
"С" - городские районы с застройкой зданиями высотой более 25 метров</t>
    </r>
  </si>
  <si>
    <t>Расчет проводился для ограждения шириной 2,5 метра при типе местности B</t>
  </si>
  <si>
    <t>для столбов высотой от 4,0 метров выполняется индивидуальный расчёт</t>
  </si>
  <si>
    <t>высота столба</t>
  </si>
  <si>
    <t>Применение фланцев для панельного ограждения с шириной пролёта 2,5 м:</t>
  </si>
  <si>
    <r>
      <rPr>
        <b/>
        <sz val="14"/>
        <rFont val="Arial"/>
        <family val="2"/>
        <charset val="204"/>
      </rPr>
      <t xml:space="preserve">фланец без усиления </t>
    </r>
    <r>
      <rPr>
        <sz val="14"/>
        <rFont val="Arial"/>
        <family val="2"/>
        <charset val="204"/>
      </rPr>
      <t xml:space="preserve">
1-7 ветровые районы</t>
    </r>
  </si>
  <si>
    <r>
      <t xml:space="preserve">фланец без усиления 
</t>
    </r>
    <r>
      <rPr>
        <sz val="14"/>
        <rFont val="Arial"/>
        <family val="2"/>
        <charset val="204"/>
      </rPr>
      <t>1-3 ветровые районы</t>
    </r>
    <r>
      <rPr>
        <b/>
        <sz val="14"/>
        <rFont val="Arial"/>
        <family val="2"/>
        <charset val="204"/>
      </rPr>
      <t xml:space="preserve">
фланец усиленный 
</t>
    </r>
    <r>
      <rPr>
        <sz val="14"/>
        <rFont val="Arial"/>
        <family val="2"/>
        <charset val="204"/>
      </rPr>
      <t>4 ветровой район</t>
    </r>
  </si>
  <si>
    <r>
      <t xml:space="preserve">фланец без усиления 
</t>
    </r>
    <r>
      <rPr>
        <sz val="14"/>
        <rFont val="Arial"/>
        <family val="2"/>
        <charset val="204"/>
      </rPr>
      <t>1-3 ветровые районы</t>
    </r>
    <r>
      <rPr>
        <b/>
        <sz val="14"/>
        <rFont val="Arial"/>
        <family val="2"/>
        <charset val="204"/>
      </rPr>
      <t xml:space="preserve">
фланец усиленный 
</t>
    </r>
    <r>
      <rPr>
        <sz val="14"/>
        <rFont val="Arial"/>
        <family val="2"/>
        <charset val="204"/>
      </rPr>
      <t>4-6 ветровые районы</t>
    </r>
  </si>
  <si>
    <r>
      <t xml:space="preserve">фланец без усиления 
</t>
    </r>
    <r>
      <rPr>
        <sz val="14"/>
        <rFont val="Arial"/>
        <family val="2"/>
        <charset val="204"/>
      </rPr>
      <t>1й ветровой район</t>
    </r>
    <r>
      <rPr>
        <b/>
        <sz val="14"/>
        <rFont val="Arial"/>
        <family val="2"/>
        <charset val="204"/>
      </rPr>
      <t xml:space="preserve">
фланец усиленный 
2</t>
    </r>
    <r>
      <rPr>
        <sz val="14"/>
        <rFont val="Arial"/>
        <family val="2"/>
        <charset val="204"/>
      </rPr>
      <t>-4 ветровые районы</t>
    </r>
  </si>
  <si>
    <r>
      <t xml:space="preserve">фланец без усиления 
</t>
    </r>
    <r>
      <rPr>
        <sz val="14"/>
        <rFont val="Arial"/>
        <family val="2"/>
        <charset val="204"/>
      </rPr>
      <t>1-4 ветровые районы</t>
    </r>
    <r>
      <rPr>
        <b/>
        <sz val="14"/>
        <rFont val="Arial"/>
        <family val="2"/>
        <charset val="204"/>
      </rPr>
      <t xml:space="preserve">
фланец усиленный 
5</t>
    </r>
    <r>
      <rPr>
        <sz val="14"/>
        <rFont val="Arial"/>
        <family val="2"/>
        <charset val="204"/>
      </rPr>
      <t>-6 ветровые районы</t>
    </r>
  </si>
  <si>
    <r>
      <t xml:space="preserve">фланец без усиления 
</t>
    </r>
    <r>
      <rPr>
        <sz val="14"/>
        <rFont val="Arial"/>
        <family val="2"/>
        <charset val="204"/>
      </rPr>
      <t>1й ветровой район</t>
    </r>
    <r>
      <rPr>
        <b/>
        <sz val="14"/>
        <rFont val="Arial"/>
        <family val="2"/>
        <charset val="204"/>
      </rPr>
      <t xml:space="preserve">
фланец усиленный 
</t>
    </r>
    <r>
      <rPr>
        <sz val="14"/>
        <rFont val="Arial"/>
        <family val="2"/>
        <charset val="204"/>
      </rPr>
      <t>2-4 ветровые районы</t>
    </r>
  </si>
  <si>
    <r>
      <rPr>
        <b/>
        <sz val="16"/>
        <rFont val="Arial Cyr"/>
        <charset val="204"/>
      </rPr>
      <t xml:space="preserve">Ворота: </t>
    </r>
    <r>
      <rPr>
        <sz val="16"/>
        <rFont val="Arial Cyr"/>
        <charset val="204"/>
      </rPr>
      <t xml:space="preserve">2 створки, 2 опорных столба, петли Locinox GAM12, угол открывания 130 град, замок Locinox LTKZ, ригель, ответная планка
</t>
    </r>
    <r>
      <rPr>
        <b/>
        <sz val="16"/>
        <rFont val="Arial Cyr"/>
        <charset val="204"/>
      </rPr>
      <t>Калитка:</t>
    </r>
    <r>
      <rPr>
        <sz val="16"/>
        <rFont val="Arial Cyr"/>
        <charset val="204"/>
      </rPr>
      <t xml:space="preserve"> 1 створка, 2 опорных столба, петли Locinox GAM12, угол открывания 130 град, замок Locinox LTKZ, ответная планка</t>
    </r>
  </si>
  <si>
    <t>60 * 40 * 1,2</t>
  </si>
  <si>
    <t>М12</t>
  </si>
  <si>
    <t>Петля с регулировкой в двух направлениях</t>
  </si>
  <si>
    <t>Оцинкованная сталь (скоба, планка)
Нержавеющая сталь (болт, гайка, шайба)</t>
  </si>
  <si>
    <t>Оцинкованная сталь</t>
  </si>
  <si>
    <t>RAL:
3005
6005
8017</t>
  </si>
  <si>
    <t>1,03*2,5</t>
  </si>
  <si>
    <t>RAL:
3005
6005*
8017</t>
  </si>
  <si>
    <t>Бетонное основание усиленное*</t>
  </si>
  <si>
    <t>Дополнительные элементы для монтажа откатных ворот на Кирпичные столбы</t>
  </si>
  <si>
    <t>Кронштейн крепления нижнего и верхнего ловителей</t>
  </si>
  <si>
    <t>Кронштейн крепления поддерживающих роликов</t>
  </si>
  <si>
    <t xml:space="preserve">Кронштейн FLGU.400.0904 </t>
  </si>
  <si>
    <t xml:space="preserve">Кронштейн SGN.02.718 </t>
  </si>
  <si>
    <t>2 шт 
на один проём</t>
  </si>
  <si>
    <t>1 шт
на один проём</t>
  </si>
  <si>
    <r>
      <t xml:space="preserve">1. Рама ворот составная с заполнением (кроме ворот Эконом) для удобства транспортировки
2. 2 опорных столба П-образных 60*60 или 80*80 в зависимости от веса ворот
3. Роликовую систему (Alutech для откатных ворот), в которую входят опоры роликовые 2шт, шина направляющая, ролик опорный, улавливатель нижний, улавливатель верхний, шина с поддерживающими роликами, подставка для роликовых опор 2шт, заглушка балки торцевая, анкерные болты
</t>
    </r>
    <r>
      <rPr>
        <sz val="16"/>
        <color rgb="FFFF0000"/>
        <rFont val="Arial"/>
        <family val="2"/>
        <charset val="204"/>
      </rPr>
      <t>В комплект поставки ворот Эконом заполнение не входит. Заполнение приобретается отдельно.</t>
    </r>
  </si>
  <si>
    <t>Панель временного ограждения 
1,74х3,1 Zn - 1 шт</t>
  </si>
  <si>
    <t>Mesh-Brico</t>
  </si>
  <si>
    <t>Полиамид</t>
  </si>
  <si>
    <t>Цвета элементов подсистемы Эконом на складе: вишневый RAL 3005, зеленый RAL 6005, коричневый RAL 8017</t>
  </si>
  <si>
    <t>0,5 / 2,5</t>
  </si>
  <si>
    <t>0,5 / 3,5</t>
  </si>
  <si>
    <r>
      <t>Временные ограждения, Рулонная сетка 
и Металлический Штакетник Grand Line</t>
    </r>
    <r>
      <rPr>
        <b/>
        <vertAlign val="superscript"/>
        <sz val="20"/>
        <color indexed="10"/>
        <rFont val="Calibri"/>
        <family val="2"/>
        <charset val="204"/>
      </rPr>
      <t>®</t>
    </r>
  </si>
  <si>
    <t>Диаметр проволоки, мм</t>
  </si>
  <si>
    <r>
      <t>PE dp</t>
    </r>
    <r>
      <rPr>
        <vertAlign val="superscript"/>
        <sz val="16"/>
        <rFont val="Arial"/>
        <family val="2"/>
        <charset val="204"/>
      </rPr>
      <t>®</t>
    </r>
    <r>
      <rPr>
        <sz val="16"/>
        <rFont val="Arial"/>
        <family val="2"/>
        <charset val="204"/>
      </rPr>
      <t xml:space="preserve"> 0,5</t>
    </r>
  </si>
  <si>
    <r>
      <t>Velur</t>
    </r>
    <r>
      <rPr>
        <vertAlign val="superscript"/>
        <sz val="16"/>
        <color indexed="8"/>
        <rFont val="Arial"/>
        <family val="2"/>
        <charset val="204"/>
      </rPr>
      <t>®</t>
    </r>
    <r>
      <rPr>
        <sz val="16"/>
        <color indexed="8"/>
        <rFont val="Arial"/>
        <family val="2"/>
        <charset val="204"/>
      </rPr>
      <t>20</t>
    </r>
    <r>
      <rPr>
        <b/>
        <sz val="16"/>
        <color indexed="10"/>
        <rFont val="Arial"/>
        <family val="2"/>
        <charset val="204"/>
      </rPr>
      <t xml:space="preserve"> NEW</t>
    </r>
  </si>
  <si>
    <t>Наконечник L Medium</t>
  </si>
  <si>
    <t>Наконечник V Medium</t>
  </si>
  <si>
    <r>
      <t xml:space="preserve">Крепление скоба Bastion 6/8
</t>
    </r>
    <r>
      <rPr>
        <sz val="16"/>
        <rFont val="Arial"/>
        <family val="2"/>
        <charset val="204"/>
      </rPr>
      <t>(болт М6*100/120/130 + гайка антивандальная М6)</t>
    </r>
  </si>
  <si>
    <t>Проушины – 2 шт
Саморезы 5,5 х 19 – 8 шт</t>
  </si>
  <si>
    <t>При заказе откатных ворот Profi и Bastion необходимо указать сторону отката ворот: вправо или влево</t>
  </si>
  <si>
    <t>4. 2 пульта Flo2R-S
5. Зубчатую рейку оцинкованную Alutech с креплением (Рейка оцинкованная зубчатая ROA8, болт с полукруглой головкой, профиль С, пластина закладная для профиля С, скоба для профиля С)</t>
  </si>
  <si>
    <t>Элементы подсистемы Эконом в других цветах изготавливаются объемом от 150 м.п.</t>
  </si>
  <si>
    <t>Цвета модульных ограждений GL на складе: вишневый RAL 3005, зеленый RAL 6005, серый RAL 7024, коричневый RAL 8017, коричневый RR 32</t>
  </si>
  <si>
    <t>Декоративное полотно на складе: RAL 1013, RAL 1014</t>
  </si>
  <si>
    <t>Декоративное полотно изготавливается под заказа в 3-х цветах: RAL 3005, RAL 6005, RAL 8017</t>
  </si>
  <si>
    <r>
      <t>Крепление хомут 51 мм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(комплектация: хомут 51 - 1 шт; крепление для рулонной сетки - 1 шт; болт М6х25 с круглой головкой - 1 шт; шайба А6 - 1 шт; гайка М6 - 1шт)</t>
    </r>
  </si>
  <si>
    <r>
      <t xml:space="preserve">Внимание!
</t>
    </r>
    <r>
      <rPr>
        <b/>
        <sz val="16"/>
        <color theme="1" tint="0.249977111117893"/>
        <rFont val="Arial"/>
        <family val="2"/>
        <charset val="204"/>
      </rPr>
      <t xml:space="preserve">Использование панелей Light возможно только в 1 - 3м снеговых районах РФ. Использование в районах с более высокой снеговой нагрузкой может привести к деформации панелей - провисание. </t>
    </r>
  </si>
  <si>
    <t>PE 0,4</t>
  </si>
  <si>
    <t>RR32, 
RAL 8017, 7024, 6005, 5005, 3005</t>
  </si>
  <si>
    <t>1,8; 2,0</t>
  </si>
  <si>
    <t>1,5; 2,0</t>
  </si>
  <si>
    <t>Все цены на металлический штакетник указаны за 1 погонный метр</t>
  </si>
  <si>
    <r>
      <rPr>
        <b/>
        <sz val="16"/>
        <rFont val="Arial"/>
        <family val="2"/>
        <charset val="204"/>
      </rPr>
      <t>Складской</t>
    </r>
    <r>
      <rPr>
        <sz val="16"/>
        <rFont val="Arial"/>
        <family val="2"/>
        <charset val="204"/>
      </rPr>
      <t xml:space="preserve"> ассортимент М и П-образного штакетника </t>
    </r>
    <r>
      <rPr>
        <b/>
        <sz val="16"/>
        <rFont val="Arial"/>
        <family val="2"/>
        <charset val="204"/>
      </rPr>
      <t xml:space="preserve">РЕ 0,5 GL </t>
    </r>
    <r>
      <rPr>
        <sz val="16"/>
        <rFont val="Arial"/>
        <family val="2"/>
        <charset val="204"/>
      </rPr>
      <t>- 1,5; 2,0 м</t>
    </r>
    <r>
      <rPr>
        <b/>
        <sz val="16"/>
        <rFont val="Arial"/>
        <family val="2"/>
        <charset val="204"/>
      </rPr>
      <t>, PE dp® 0,5</t>
    </r>
    <r>
      <rPr>
        <sz val="16"/>
        <rFont val="Arial"/>
        <family val="2"/>
        <charset val="204"/>
      </rPr>
      <t xml:space="preserve"> -1,8; 2,0 м в цветах RAL 3005, 6005, 8017</t>
    </r>
  </si>
  <si>
    <r>
      <rPr>
        <b/>
        <sz val="16"/>
        <rFont val="Arial"/>
        <family val="2"/>
        <charset val="204"/>
      </rPr>
      <t>Складской</t>
    </r>
    <r>
      <rPr>
        <sz val="16"/>
        <rFont val="Arial"/>
        <family val="2"/>
        <charset val="204"/>
      </rPr>
      <t xml:space="preserve"> ассортимент М и П-образного штакетника </t>
    </r>
    <r>
      <rPr>
        <b/>
        <sz val="16"/>
        <rFont val="Arial"/>
        <family val="2"/>
        <charset val="204"/>
      </rPr>
      <t>Print 0,5</t>
    </r>
    <r>
      <rPr>
        <sz val="16"/>
        <rFont val="Arial"/>
        <family val="2"/>
        <charset val="204"/>
      </rPr>
      <t xml:space="preserve"> - 1,8 м в цветах Antique Dub, Golden Dub</t>
    </r>
  </si>
  <si>
    <r>
      <rPr>
        <b/>
        <sz val="16"/>
        <rFont val="Arial"/>
        <family val="2"/>
        <charset val="204"/>
      </rPr>
      <t>Складской</t>
    </r>
    <r>
      <rPr>
        <sz val="16"/>
        <rFont val="Arial"/>
        <family val="2"/>
        <charset val="204"/>
      </rPr>
      <t xml:space="preserve"> ассортимент Круглого и Прямоугольного штакетника </t>
    </r>
    <r>
      <rPr>
        <b/>
        <sz val="16"/>
        <rFont val="Arial"/>
        <family val="2"/>
        <charset val="204"/>
      </rPr>
      <t>Print dp 0,45</t>
    </r>
    <r>
      <rPr>
        <sz val="16"/>
        <rFont val="Arial"/>
        <family val="2"/>
        <charset val="204"/>
      </rPr>
      <t xml:space="preserve"> - 1,5; 1,8; 2,0 м в цветах Antique Dub, Golden Dub, </t>
    </r>
    <r>
      <rPr>
        <b/>
        <sz val="16"/>
        <rFont val="Arial"/>
        <family val="2"/>
        <charset val="204"/>
      </rPr>
      <t>PE dp 0,45</t>
    </r>
    <r>
      <rPr>
        <sz val="16"/>
        <rFont val="Arial"/>
        <family val="2"/>
        <charset val="204"/>
      </rPr>
      <t xml:space="preserve"> - 1,5; 1,8; 2,0 м в цветах RAL 3005, 6005, 8017</t>
    </r>
  </si>
  <si>
    <r>
      <rPr>
        <b/>
        <sz val="16"/>
        <rFont val="Arial"/>
        <family val="2"/>
        <charset val="204"/>
      </rPr>
      <t>Металлический штакетник Круглый и Прямоугольный</t>
    </r>
    <r>
      <rPr>
        <sz val="16"/>
        <rFont val="Arial"/>
        <family val="2"/>
        <charset val="204"/>
      </rPr>
      <t xml:space="preserve"> изготавливается в любом количестве в указанных в таблице покрытиях и цветах</t>
    </r>
  </si>
  <si>
    <t xml:space="preserve">Возможно изготовление Круглого и Прямоугольного штакетниках в других цветах и покрытиях при заказе от 3000 м.п. </t>
  </si>
  <si>
    <r>
      <t>1,53 * 2,5</t>
    </r>
    <r>
      <rPr>
        <b/>
        <sz val="22"/>
        <color indexed="10"/>
        <rFont val="Arial"/>
        <family val="2"/>
        <charset val="204"/>
      </rPr>
      <t>**</t>
    </r>
  </si>
  <si>
    <r>
      <t>1,73 * 2,5</t>
    </r>
    <r>
      <rPr>
        <b/>
        <sz val="22"/>
        <color indexed="10"/>
        <rFont val="Arial"/>
        <family val="2"/>
        <charset val="204"/>
      </rPr>
      <t>**</t>
    </r>
  </si>
  <si>
    <r>
      <t>2,03 * 2,5</t>
    </r>
    <r>
      <rPr>
        <b/>
        <sz val="22"/>
        <color indexed="10"/>
        <rFont val="Arial"/>
        <family val="2"/>
        <charset val="204"/>
      </rPr>
      <t>**</t>
    </r>
  </si>
  <si>
    <t>Крепление скоба (саморез 5,5*32)
саморез оцинкованный, неокрашенный</t>
  </si>
  <si>
    <r>
      <rPr>
        <b/>
        <sz val="22"/>
        <rFont val="Arial"/>
        <family val="2"/>
        <charset val="204"/>
      </rPr>
      <t>Крепление скоба - болт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(болт М6*85/25/100  + гайка антивандальная М6)</t>
    </r>
  </si>
  <si>
    <r>
      <rPr>
        <b/>
        <sz val="22"/>
        <rFont val="Arial"/>
        <family val="2"/>
        <charset val="204"/>
      </rPr>
      <t>Крепление хомут, Крепление хомут угловой, Крепление хомут крайний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(укомплектован антивандальными гайками М6)</t>
    </r>
  </si>
  <si>
    <r>
      <rPr>
        <b/>
        <sz val="22"/>
        <rFont val="Arial"/>
        <family val="2"/>
        <charset val="204"/>
      </rPr>
      <t xml:space="preserve">Панель LIGHT </t>
    </r>
    <r>
      <rPr>
        <b/>
        <sz val="16"/>
        <rFont val="Arial"/>
        <family val="2"/>
        <charset val="204"/>
      </rPr>
      <t xml:space="preserve">
С ПОЛИМЕРНЫМ ПОКРЫТИЕМ
ячейка основная 200х55 мм  
диаметр прутка 3,5 мм</t>
    </r>
  </si>
  <si>
    <r>
      <rPr>
        <b/>
        <sz val="22"/>
        <rFont val="Arial"/>
        <family val="2"/>
        <charset val="204"/>
      </rPr>
      <t>Панель MEDIUM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rgb="FFFF0000"/>
        <rFont val="Arial"/>
        <family val="2"/>
        <charset val="204"/>
      </rPr>
      <t>Оцинкованная 
или 
Оцинкованная с Полимерным покрытием</t>
    </r>
    <r>
      <rPr>
        <b/>
        <sz val="16"/>
        <rFont val="Arial"/>
        <family val="2"/>
        <charset val="204"/>
      </rPr>
      <t xml:space="preserve">
ячейка основная 200х55 мм</t>
    </r>
    <r>
      <rPr>
        <b/>
        <sz val="16"/>
        <color theme="1" tint="0.249977111117893"/>
        <rFont val="Arial"/>
        <family val="2"/>
        <charset val="204"/>
      </rPr>
      <t xml:space="preserve">
</t>
    </r>
    <r>
      <rPr>
        <b/>
        <sz val="16"/>
        <rFont val="Arial"/>
        <family val="2"/>
        <charset val="204"/>
      </rPr>
      <t xml:space="preserve">диаметр прутка  
</t>
    </r>
    <r>
      <rPr>
        <b/>
        <sz val="14"/>
        <rFont val="Arial"/>
        <family val="2"/>
        <charset val="204"/>
      </rPr>
      <t>оцинкованного 3,8 мм
с полимерным прокрытием 4,0 мм</t>
    </r>
  </si>
  <si>
    <r>
      <rPr>
        <b/>
        <sz val="22"/>
        <rFont val="Arial"/>
        <family val="2"/>
        <charset val="204"/>
      </rPr>
      <t>Панель PROFI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rgb="FFFF0000"/>
        <rFont val="Arial"/>
        <family val="2"/>
        <charset val="204"/>
      </rPr>
      <t>Оцинкованная 
или 
Оцинкованная с Полимерным покрытием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theme="1" tint="0.249977111117893"/>
        <rFont val="Arial"/>
        <family val="2"/>
        <charset val="204"/>
      </rPr>
      <t xml:space="preserve">ячейка основная 200х55 мм
диаметр прутка  
</t>
    </r>
    <r>
      <rPr>
        <b/>
        <sz val="14"/>
        <color theme="1" tint="0.249977111117893"/>
        <rFont val="Arial"/>
        <family val="2"/>
        <charset val="204"/>
      </rPr>
      <t>оцинкованного 4,8 мм
с полимерным прокрытием 5,0 мм</t>
    </r>
  </si>
  <si>
    <r>
      <rPr>
        <b/>
        <sz val="22"/>
        <rFont val="Arial"/>
        <family val="2"/>
        <charset val="204"/>
      </rPr>
      <t>Панель BASTION 5/6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rgb="FFFF0000"/>
        <rFont val="Arial"/>
        <family val="2"/>
        <charset val="204"/>
      </rPr>
      <t>Оцинкованная или 
Оцинкованная с Полимерным покрытием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theme="1" tint="0.249977111117893"/>
        <rFont val="Arial"/>
        <family val="2"/>
        <charset val="204"/>
      </rPr>
      <t xml:space="preserve">ячейка основная 200х55 мм 
диаметр оцинкованного прутка 
</t>
    </r>
    <r>
      <rPr>
        <b/>
        <sz val="14"/>
        <color theme="1" tint="0.249977111117893"/>
        <rFont val="Arial"/>
        <family val="2"/>
        <charset val="204"/>
      </rPr>
      <t>вертикального 4,8 мм 
горизонтального 6,0 мм</t>
    </r>
  </si>
  <si>
    <r>
      <rPr>
        <b/>
        <sz val="22"/>
        <color indexed="8"/>
        <rFont val="Arial"/>
        <family val="2"/>
        <charset val="204"/>
      </rPr>
      <t xml:space="preserve">Столб оцинкованный с полимерным покрытием </t>
    </r>
    <r>
      <rPr>
        <b/>
        <sz val="16"/>
        <color indexed="8"/>
        <rFont val="Arial"/>
        <family val="2"/>
        <charset val="204"/>
      </rPr>
      <t xml:space="preserve">
с отверстиями или резьбовыми втулками 
в профиле 62*55, 90*55 и 60*80 и 80*80 и заглушкой</t>
    </r>
  </si>
  <si>
    <r>
      <t xml:space="preserve">                                                                                     Панели LIGHT                                   </t>
    </r>
    <r>
      <rPr>
        <sz val="18"/>
        <rFont val="Arial"/>
        <family val="2"/>
        <charset val="204"/>
      </rPr>
      <t>Оптовые цены действительны с 01.12.2017</t>
    </r>
  </si>
  <si>
    <t>СтройМеталСервис</t>
  </si>
  <si>
    <t>614530,Пермский район, д. Замараево, ул. Новая,18. 8 / 342 /2713491, 89082713491</t>
  </si>
</sst>
</file>

<file path=xl/styles.xml><?xml version="1.0" encoding="utf-8"?>
<styleSheet xmlns="http://schemas.openxmlformats.org/spreadsheetml/2006/main">
  <numFmts count="10">
    <numFmt numFmtId="164" formatCode="_-* #,##0.00_р_._-;\-* #,##0.00_р_._-;_-* &quot;-&quot;??_р_._-;_-@_-"/>
    <numFmt numFmtId="165" formatCode="0.000"/>
    <numFmt numFmtId="166" formatCode="0.0"/>
    <numFmt numFmtId="167" formatCode="_([$€]* #,##0.00_);_([$€]* \(#,##0.00\);_([$€]* &quot;-&quot;??_);_(@_)"/>
    <numFmt numFmtId="168" formatCode="#,##0.00_р_."/>
    <numFmt numFmtId="169" formatCode="#,##0_р_."/>
    <numFmt numFmtId="170" formatCode="_(* #,##0.00_);_(* \(#,##0.00\);_(* &quot;-&quot;??_);_(@_)"/>
    <numFmt numFmtId="171" formatCode="_([$€]* #,##0.00_);_([$€]* \(#,##0.00\);_([$€]* \-??_);_(@_)"/>
    <numFmt numFmtId="172" formatCode="_(\$* #,##0.00_);_(\$* \(#,##0.00\);_(\$* \-??_);_(@_)"/>
    <numFmt numFmtId="173" formatCode="_-* #,##0.00_р_._-;\-* #,##0.00_р_._-;_-* \-??_р_._-;_-@_-"/>
  </numFmts>
  <fonts count="12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77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b/>
      <sz val="16"/>
      <color indexed="10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20"/>
      <name val="Arial Cyr"/>
      <charset val="204"/>
    </font>
    <font>
      <sz val="14"/>
      <name val="Arial Cyr"/>
      <charset val="204"/>
    </font>
    <font>
      <b/>
      <sz val="16"/>
      <color indexed="8"/>
      <name val="Arial"/>
      <family val="2"/>
      <charset val="204"/>
    </font>
    <font>
      <sz val="16"/>
      <color indexed="8"/>
      <name val="Arial"/>
      <family val="2"/>
      <charset val="204"/>
    </font>
    <font>
      <sz val="10"/>
      <name val="Arial"/>
      <family val="2"/>
      <charset val="204"/>
    </font>
    <font>
      <b/>
      <sz val="20"/>
      <color indexed="10"/>
      <name val="Arial"/>
      <family val="2"/>
      <charset val="204"/>
    </font>
    <font>
      <sz val="22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20"/>
      <name val="Arial"/>
      <family val="2"/>
      <charset val="204"/>
    </font>
    <font>
      <sz val="26"/>
      <name val="Arial"/>
      <family val="2"/>
      <charset val="204"/>
    </font>
    <font>
      <b/>
      <sz val="26"/>
      <name val="Arial"/>
      <family val="2"/>
      <charset val="204"/>
    </font>
    <font>
      <b/>
      <sz val="36"/>
      <color indexed="10"/>
      <name val="Arial"/>
      <family val="2"/>
      <charset val="204"/>
    </font>
    <font>
      <sz val="36"/>
      <name val="Arial"/>
      <family val="2"/>
      <charset val="204"/>
    </font>
    <font>
      <sz val="24"/>
      <name val="Arial"/>
      <family val="2"/>
      <charset val="204"/>
    </font>
    <font>
      <b/>
      <sz val="36"/>
      <name val="Arial"/>
      <family val="2"/>
      <charset val="204"/>
    </font>
    <font>
      <b/>
      <sz val="24"/>
      <name val="Arial"/>
      <family val="2"/>
      <charset val="204"/>
    </font>
    <font>
      <sz val="24"/>
      <name val="Arial Cyr"/>
      <charset val="204"/>
    </font>
    <font>
      <sz val="12"/>
      <color indexed="8"/>
      <name val="Arial"/>
      <family val="2"/>
      <charset val="204"/>
    </font>
    <font>
      <sz val="16"/>
      <color indexed="8"/>
      <name val="Calibri"/>
      <family val="2"/>
      <charset val="204"/>
    </font>
    <font>
      <b/>
      <sz val="48"/>
      <name val="Arial"/>
      <family val="2"/>
      <charset val="204"/>
    </font>
    <font>
      <sz val="48"/>
      <name val="Arial"/>
      <family val="2"/>
      <charset val="204"/>
    </font>
    <font>
      <sz val="10"/>
      <name val="Arial"/>
      <family val="2"/>
      <charset val="204"/>
    </font>
    <font>
      <sz val="16"/>
      <color indexed="10"/>
      <name val="Arial"/>
      <family val="2"/>
      <charset val="204"/>
    </font>
    <font>
      <sz val="20"/>
      <name val="Arial Cyr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0"/>
      <color indexed="8"/>
      <name val="Arial Cyr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18"/>
      <color indexed="10"/>
      <name val="Arial"/>
      <family val="2"/>
      <charset val="204"/>
    </font>
    <font>
      <b/>
      <vertAlign val="superscript"/>
      <sz val="20"/>
      <color indexed="10"/>
      <name val="Arial"/>
      <family val="2"/>
      <charset val="204"/>
    </font>
    <font>
      <sz val="8"/>
      <name val="Arial"/>
      <family val="2"/>
      <charset val="204"/>
    </font>
    <font>
      <b/>
      <sz val="18"/>
      <color indexed="8"/>
      <name val="Arial"/>
      <family val="2"/>
      <charset val="204"/>
    </font>
    <font>
      <sz val="16"/>
      <name val="Arial Cyr"/>
      <charset val="204"/>
    </font>
    <font>
      <sz val="18"/>
      <name val="Arial Cyr"/>
      <charset val="204"/>
    </font>
    <font>
      <sz val="18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b/>
      <sz val="14"/>
      <name val="Arial"/>
      <family val="2"/>
      <charset val="204"/>
    </font>
    <font>
      <b/>
      <u/>
      <sz val="16"/>
      <name val="Arial"/>
      <family val="2"/>
      <charset val="204"/>
    </font>
    <font>
      <b/>
      <vertAlign val="superscript"/>
      <sz val="16"/>
      <name val="Arial"/>
      <family val="2"/>
      <charset val="204"/>
    </font>
    <font>
      <b/>
      <u/>
      <sz val="16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6"/>
      <color theme="1"/>
      <name val="Arial"/>
      <family val="2"/>
      <charset val="204"/>
    </font>
    <font>
      <u/>
      <sz val="16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6"/>
      <color theme="1" tint="0.249977111117893"/>
      <name val="Arial"/>
      <family val="2"/>
      <charset val="204"/>
    </font>
    <font>
      <b/>
      <sz val="20"/>
      <color theme="1"/>
      <name val="Arial"/>
      <family val="2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b/>
      <u/>
      <sz val="16"/>
      <color theme="1" tint="0.249977111117893"/>
      <name val="Arial"/>
      <family val="2"/>
      <charset val="204"/>
    </font>
    <font>
      <b/>
      <vertAlign val="superscript"/>
      <sz val="20"/>
      <color indexed="10"/>
      <name val="Calibri"/>
      <family val="2"/>
      <charset val="204"/>
    </font>
    <font>
      <b/>
      <sz val="14"/>
      <color indexed="10"/>
      <name val="Arial"/>
      <family val="2"/>
      <charset val="204"/>
    </font>
    <font>
      <b/>
      <vertAlign val="superscript"/>
      <sz val="20"/>
      <color indexed="10"/>
      <name val="Arial Cyr"/>
      <charset val="204"/>
    </font>
    <font>
      <b/>
      <sz val="16"/>
      <color indexed="10"/>
      <name val="Arial Cyr"/>
      <charset val="204"/>
    </font>
    <font>
      <b/>
      <sz val="16"/>
      <name val="Arial Cyr"/>
      <charset val="204"/>
    </font>
    <font>
      <sz val="16"/>
      <color indexed="8"/>
      <name val="Arial Cyr"/>
      <charset val="204"/>
    </font>
    <font>
      <sz val="16"/>
      <color theme="1" tint="0.249977111117893"/>
      <name val="Arial"/>
      <family val="2"/>
      <charset val="204"/>
    </font>
    <font>
      <sz val="16"/>
      <color theme="1" tint="0.14999847407452621"/>
      <name val="Arial"/>
      <family val="2"/>
      <charset val="204"/>
    </font>
    <font>
      <sz val="14"/>
      <color theme="1" tint="0.14999847407452621"/>
      <name val="Arial"/>
      <family val="2"/>
      <charset val="204"/>
    </font>
    <font>
      <b/>
      <sz val="14"/>
      <color theme="1" tint="0.249977111117893"/>
      <name val="Arial"/>
      <family val="2"/>
      <charset val="204"/>
    </font>
    <font>
      <sz val="28"/>
      <name val="Arial"/>
      <family val="2"/>
      <charset val="204"/>
    </font>
    <font>
      <b/>
      <u/>
      <sz val="14"/>
      <color theme="1" tint="0.249977111117893"/>
      <name val="Arial"/>
      <family val="2"/>
      <charset val="204"/>
    </font>
    <font>
      <sz val="16"/>
      <color rgb="FFFF0000"/>
      <name val="Arial"/>
      <family val="2"/>
      <charset val="204"/>
    </font>
    <font>
      <sz val="16"/>
      <color rgb="FFFF0000"/>
      <name val="Arial Cyr"/>
      <charset val="204"/>
    </font>
    <font>
      <vertAlign val="superscript"/>
      <sz val="16"/>
      <name val="Arial"/>
      <family val="2"/>
      <charset val="204"/>
    </font>
    <font>
      <i/>
      <sz val="16"/>
      <name val="Arial"/>
      <family val="2"/>
      <charset val="204"/>
    </font>
    <font>
      <i/>
      <u/>
      <sz val="16"/>
      <name val="Arial"/>
      <family val="2"/>
      <charset val="204"/>
    </font>
    <font>
      <u/>
      <sz val="10"/>
      <color theme="10"/>
      <name val="Arial Cyr"/>
      <charset val="204"/>
    </font>
    <font>
      <vertAlign val="superscript"/>
      <sz val="16"/>
      <color indexed="8"/>
      <name val="Arial"/>
      <family val="2"/>
      <charset val="204"/>
    </font>
    <font>
      <sz val="16"/>
      <color theme="0" tint="-0.499984740745262"/>
      <name val="Arial"/>
      <family val="2"/>
      <charset val="204"/>
    </font>
    <font>
      <b/>
      <sz val="22"/>
      <name val="Arial"/>
      <family val="2"/>
      <charset val="204"/>
    </font>
    <font>
      <b/>
      <sz val="22"/>
      <color theme="0" tint="-0.499984740745262"/>
      <name val="Arial"/>
      <family val="2"/>
      <charset val="204"/>
    </font>
    <font>
      <sz val="22"/>
      <color theme="1" tint="0.14999847407452621"/>
      <name val="Arial"/>
      <family val="2"/>
      <charset val="204"/>
    </font>
    <font>
      <sz val="22"/>
      <color theme="0" tint="-0.499984740745262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22"/>
      <color indexed="8"/>
      <name val="Arial"/>
      <family val="2"/>
      <charset val="204"/>
    </font>
    <font>
      <b/>
      <sz val="20"/>
      <color theme="3" tint="-0.249977111117893"/>
      <name val="Century Gothic"/>
      <family val="2"/>
      <charset val="204"/>
    </font>
    <font>
      <b/>
      <sz val="22"/>
      <color theme="3" tint="-0.249977111117893"/>
      <name val="Century Gothic"/>
      <family val="2"/>
      <charset val="204"/>
    </font>
    <font>
      <b/>
      <sz val="20"/>
      <color rgb="FFFF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28"/>
      <name val="Arial Cyr"/>
      <charset val="204"/>
    </font>
    <font>
      <b/>
      <sz val="48"/>
      <name val="Arial Cyr"/>
      <charset val="204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7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theme="1" tint="0.249977111117893"/>
      </left>
      <right/>
      <top style="medium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medium">
        <color theme="1" tint="0.249977111117893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12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167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4" fillId="0" borderId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2" fontId="7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8" fillId="12" borderId="1" applyNumberFormat="0" applyAlignment="0" applyProtection="0"/>
    <xf numFmtId="0" fontId="8" fillId="12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2" borderId="1" applyNumberFormat="0" applyAlignment="0" applyProtection="0"/>
    <xf numFmtId="0" fontId="8" fillId="12" borderId="1" applyNumberFormat="0" applyAlignment="0" applyProtection="0"/>
    <xf numFmtId="0" fontId="9" fillId="38" borderId="2" applyNumberFormat="0" applyAlignment="0" applyProtection="0"/>
    <xf numFmtId="0" fontId="9" fillId="38" borderId="2" applyNumberFormat="0" applyAlignment="0" applyProtection="0"/>
    <xf numFmtId="0" fontId="9" fillId="39" borderId="2" applyNumberFormat="0" applyAlignment="0" applyProtection="0"/>
    <xf numFmtId="0" fontId="9" fillId="39" borderId="2" applyNumberFormat="0" applyAlignment="0" applyProtection="0"/>
    <xf numFmtId="0" fontId="9" fillId="38" borderId="2" applyNumberFormat="0" applyAlignment="0" applyProtection="0"/>
    <xf numFmtId="0" fontId="9" fillId="38" borderId="2" applyNumberFormat="0" applyAlignment="0" applyProtection="0"/>
    <xf numFmtId="0" fontId="10" fillId="38" borderId="1" applyNumberFormat="0" applyAlignment="0" applyProtection="0"/>
    <xf numFmtId="0" fontId="10" fillId="38" borderId="1" applyNumberFormat="0" applyAlignment="0" applyProtection="0"/>
    <xf numFmtId="0" fontId="10" fillId="39" borderId="1" applyNumberFormat="0" applyAlignment="0" applyProtection="0"/>
    <xf numFmtId="0" fontId="10" fillId="39" borderId="1" applyNumberFormat="0" applyAlignment="0" applyProtection="0"/>
    <xf numFmtId="0" fontId="10" fillId="38" borderId="1" applyNumberFormat="0" applyAlignment="0" applyProtection="0"/>
    <xf numFmtId="0" fontId="10" fillId="38" borderId="1" applyNumberFormat="0" applyAlignment="0" applyProtection="0"/>
    <xf numFmtId="0" fontId="5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2" fontId="4" fillId="0" borderId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6" fillId="0" borderId="0" applyNumberFormat="0" applyFill="0" applyBorder="0" applyProtection="0">
      <alignment horizontal="left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66" fillId="0" borderId="0" applyNumberFormat="0" applyFill="0" applyBorder="0" applyProtection="0">
      <alignment horizontal="left"/>
    </xf>
    <xf numFmtId="0" fontId="16" fillId="40" borderId="7" applyNumberFormat="0" applyAlignment="0" applyProtection="0"/>
    <xf numFmtId="0" fontId="16" fillId="40" borderId="7" applyNumberFormat="0" applyAlignment="0" applyProtection="0"/>
    <xf numFmtId="0" fontId="16" fillId="41" borderId="7" applyNumberFormat="0" applyAlignment="0" applyProtection="0"/>
    <xf numFmtId="0" fontId="16" fillId="41" borderId="7" applyNumberFormat="0" applyAlignment="0" applyProtection="0"/>
    <xf numFmtId="0" fontId="16" fillId="40" borderId="7" applyNumberFormat="0" applyAlignment="0" applyProtection="0"/>
    <xf numFmtId="0" fontId="16" fillId="40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0" borderId="0"/>
    <xf numFmtId="0" fontId="1" fillId="0" borderId="0"/>
    <xf numFmtId="0" fontId="78" fillId="0" borderId="0"/>
    <xf numFmtId="0" fontId="5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4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58" fillId="0" borderId="0"/>
    <xf numFmtId="0" fontId="4" fillId="0" borderId="0"/>
    <xf numFmtId="0" fontId="58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4" fillId="0" borderId="0"/>
    <xf numFmtId="0" fontId="66" fillId="0" borderId="0"/>
    <xf numFmtId="0" fontId="78" fillId="0" borderId="0"/>
    <xf numFmtId="0" fontId="11" fillId="0" borderId="0"/>
    <xf numFmtId="0" fontId="58" fillId="0" borderId="0"/>
    <xf numFmtId="0" fontId="58" fillId="0" borderId="0"/>
    <xf numFmtId="0" fontId="11" fillId="0" borderId="0"/>
    <xf numFmtId="0" fontId="1" fillId="0" borderId="0"/>
    <xf numFmtId="0" fontId="4" fillId="0" borderId="0"/>
    <xf numFmtId="0" fontId="78" fillId="0" borderId="0"/>
    <xf numFmtId="0" fontId="4" fillId="0" borderId="0"/>
    <xf numFmtId="0" fontId="1" fillId="0" borderId="0"/>
    <xf numFmtId="0" fontId="58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8" fillId="0" borderId="0"/>
    <xf numFmtId="0" fontId="1" fillId="0" borderId="0"/>
    <xf numFmtId="0" fontId="11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" fillId="44" borderId="8" applyNumberFormat="0" applyFont="0" applyAlignment="0" applyProtection="0"/>
    <xf numFmtId="0" fontId="11" fillId="44" borderId="8" applyNumberFormat="0" applyFont="0" applyAlignment="0" applyProtection="0"/>
    <xf numFmtId="0" fontId="4" fillId="45" borderId="8" applyNumberFormat="0" applyAlignment="0" applyProtection="0"/>
    <xf numFmtId="0" fontId="4" fillId="45" borderId="8" applyNumberFormat="0" applyAlignment="0" applyProtection="0"/>
    <xf numFmtId="0" fontId="11" fillId="44" borderId="8" applyNumberFormat="0" applyFont="0" applyAlignment="0" applyProtection="0"/>
    <xf numFmtId="0" fontId="11" fillId="44" borderId="8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4" fillId="0" borderId="0" applyFill="0" applyBorder="0" applyAlignment="0" applyProtection="0"/>
    <xf numFmtId="173" fontId="4" fillId="0" borderId="0" applyFill="0" applyBorder="0" applyAlignment="0" applyProtection="0"/>
    <xf numFmtId="170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4" fillId="0" borderId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105" fillId="0" borderId="0" applyNumberFormat="0" applyFill="0" applyBorder="0" applyAlignment="0" applyProtection="0"/>
  </cellStyleXfs>
  <cellXfs count="1863">
    <xf numFmtId="0" fontId="0" fillId="0" borderId="0" xfId="0"/>
    <xf numFmtId="0" fontId="11" fillId="0" borderId="0" xfId="0" applyFont="1"/>
    <xf numFmtId="0" fontId="11" fillId="0" borderId="0" xfId="0" applyFont="1" applyAlignment="1"/>
    <xf numFmtId="0" fontId="27" fillId="0" borderId="0" xfId="0" applyFont="1"/>
    <xf numFmtId="0" fontId="27" fillId="0" borderId="0" xfId="0" applyFont="1" applyBorder="1"/>
    <xf numFmtId="0" fontId="27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27" fillId="0" borderId="0" xfId="0" applyFont="1" applyAlignment="1"/>
    <xf numFmtId="0" fontId="32" fillId="0" borderId="0" xfId="0" applyFont="1"/>
    <xf numFmtId="0" fontId="30" fillId="0" borderId="10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0" xfId="0" applyFont="1"/>
    <xf numFmtId="0" fontId="30" fillId="0" borderId="11" xfId="0" applyFont="1" applyBorder="1" applyAlignment="1" applyProtection="1">
      <alignment horizontal="center" vertical="center" wrapText="1"/>
      <protection hidden="1"/>
    </xf>
    <xf numFmtId="0" fontId="30" fillId="0" borderId="12" xfId="0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 applyProtection="1">
      <alignment horizontal="center" vertical="center"/>
      <protection hidden="1"/>
    </xf>
    <xf numFmtId="2" fontId="30" fillId="0" borderId="11" xfId="0" applyNumberFormat="1" applyFont="1" applyBorder="1" applyAlignment="1" applyProtection="1">
      <alignment horizontal="center" vertical="center"/>
      <protection hidden="1"/>
    </xf>
    <xf numFmtId="2" fontId="30" fillId="0" borderId="12" xfId="0" applyNumberFormat="1" applyFont="1" applyBorder="1" applyAlignment="1" applyProtection="1">
      <alignment horizontal="center" vertical="center"/>
      <protection hidden="1"/>
    </xf>
    <xf numFmtId="2" fontId="30" fillId="0" borderId="13" xfId="0" applyNumberFormat="1" applyFont="1" applyBorder="1" applyAlignment="1" applyProtection="1">
      <alignment horizontal="center" vertical="center"/>
      <protection hidden="1"/>
    </xf>
    <xf numFmtId="0" fontId="30" fillId="0" borderId="13" xfId="0" applyFont="1" applyBorder="1" applyAlignment="1" applyProtection="1">
      <alignment horizontal="center" vertical="center" wrapText="1"/>
      <protection hidden="1"/>
    </xf>
    <xf numFmtId="0" fontId="30" fillId="46" borderId="10" xfId="0" applyFont="1" applyFill="1" applyBorder="1" applyAlignment="1" applyProtection="1">
      <alignment horizontal="center" vertical="center" wrapText="1"/>
      <protection hidden="1"/>
    </xf>
    <xf numFmtId="165" fontId="30" fillId="0" borderId="10" xfId="0" applyNumberFormat="1" applyFont="1" applyFill="1" applyBorder="1" applyAlignment="1" applyProtection="1">
      <alignment horizontal="center" vertical="center"/>
      <protection hidden="1"/>
    </xf>
    <xf numFmtId="2" fontId="30" fillId="0" borderId="10" xfId="0" applyNumberFormat="1" applyFont="1" applyBorder="1" applyAlignment="1" applyProtection="1">
      <alignment horizontal="center" vertical="center"/>
      <protection hidden="1"/>
    </xf>
    <xf numFmtId="166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30" fillId="0" borderId="11" xfId="0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2" fontId="30" fillId="0" borderId="14" xfId="0" applyNumberFormat="1" applyFont="1" applyBorder="1" applyAlignment="1">
      <alignment horizontal="center" vertical="center" wrapText="1"/>
    </xf>
    <xf numFmtId="2" fontId="30" fillId="0" borderId="10" xfId="0" applyNumberFormat="1" applyFont="1" applyBorder="1" applyAlignment="1">
      <alignment horizontal="center" vertical="center" wrapText="1"/>
    </xf>
    <xf numFmtId="2" fontId="30" fillId="0" borderId="10" xfId="0" applyNumberFormat="1" applyFont="1" applyFill="1" applyBorder="1" applyAlignment="1">
      <alignment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29" fillId="47" borderId="10" xfId="0" applyFont="1" applyFill="1" applyBorder="1" applyAlignment="1">
      <alignment horizontal="center" vertical="center" wrapText="1"/>
    </xf>
    <xf numFmtId="0" fontId="30" fillId="0" borderId="0" xfId="357" applyFont="1" applyAlignment="1">
      <alignment vertical="center"/>
    </xf>
    <xf numFmtId="0" fontId="30" fillId="0" borderId="0" xfId="357" applyFont="1" applyAlignment="1">
      <alignment vertical="center" wrapText="1"/>
    </xf>
    <xf numFmtId="0" fontId="29" fillId="0" borderId="0" xfId="357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47" borderId="10" xfId="0" applyNumberFormat="1" applyFont="1" applyFill="1" applyBorder="1" applyAlignment="1" applyProtection="1">
      <alignment horizontal="center" vertical="center" wrapText="1"/>
      <protection hidden="1"/>
    </xf>
    <xf numFmtId="3" fontId="29" fillId="47" borderId="10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>
      <alignment vertical="center" wrapText="1"/>
    </xf>
    <xf numFmtId="0" fontId="29" fillId="0" borderId="0" xfId="0" applyFont="1" applyBorder="1" applyAlignment="1" applyProtection="1">
      <alignment horizontal="left" vertical="center"/>
      <protection hidden="1"/>
    </xf>
    <xf numFmtId="0" fontId="28" fillId="0" borderId="0" xfId="356" applyFont="1" applyBorder="1" applyAlignment="1" applyProtection="1">
      <alignment vertical="top"/>
      <protection hidden="1"/>
    </xf>
    <xf numFmtId="0" fontId="29" fillId="0" borderId="0" xfId="356" applyFont="1" applyBorder="1" applyAlignment="1"/>
    <xf numFmtId="0" fontId="30" fillId="0" borderId="10" xfId="0" applyFont="1" applyFill="1" applyBorder="1" applyAlignment="1" applyProtection="1">
      <alignment vertical="center"/>
      <protection hidden="1"/>
    </xf>
    <xf numFmtId="2" fontId="29" fillId="0" borderId="10" xfId="0" applyNumberFormat="1" applyFont="1" applyBorder="1" applyAlignment="1">
      <alignment horizontal="center" vertical="center" wrapText="1"/>
    </xf>
    <xf numFmtId="2" fontId="29" fillId="0" borderId="11" xfId="0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/>
    </xf>
    <xf numFmtId="0" fontId="29" fillId="0" borderId="0" xfId="0" applyFont="1" applyBorder="1" applyAlignment="1" applyProtection="1">
      <alignment horizontal="left" vertical="top"/>
      <protection hidden="1"/>
    </xf>
    <xf numFmtId="0" fontId="37" fillId="0" borderId="0" xfId="0" applyFont="1"/>
    <xf numFmtId="2" fontId="29" fillId="0" borderId="15" xfId="0" applyNumberFormat="1" applyFont="1" applyBorder="1" applyAlignment="1">
      <alignment horizontal="center" vertical="center" wrapText="1"/>
    </xf>
    <xf numFmtId="2" fontId="30" fillId="0" borderId="15" xfId="0" applyNumberFormat="1" applyFont="1" applyFill="1" applyBorder="1" applyAlignment="1">
      <alignment vertical="center" wrapText="1"/>
    </xf>
    <xf numFmtId="0" fontId="39" fillId="0" borderId="0" xfId="355" applyFont="1"/>
    <xf numFmtId="0" fontId="39" fillId="0" borderId="0" xfId="355" applyFont="1" applyAlignment="1">
      <alignment vertical="center"/>
    </xf>
    <xf numFmtId="0" fontId="40" fillId="0" borderId="0" xfId="355" applyFont="1"/>
    <xf numFmtId="0" fontId="39" fillId="0" borderId="0" xfId="355" applyFont="1" applyBorder="1"/>
    <xf numFmtId="0" fontId="40" fillId="0" borderId="0" xfId="355" applyFont="1" applyBorder="1"/>
    <xf numFmtId="0" fontId="46" fillId="0" borderId="0" xfId="0" applyFont="1"/>
    <xf numFmtId="0" fontId="49" fillId="0" borderId="0" xfId="0" applyFont="1"/>
    <xf numFmtId="0" fontId="48" fillId="0" borderId="0" xfId="0" applyFont="1" applyAlignment="1"/>
    <xf numFmtId="0" fontId="46" fillId="0" borderId="0" xfId="0" applyFont="1" applyBorder="1" applyAlignment="1" applyProtection="1">
      <alignment vertical="center"/>
      <protection hidden="1"/>
    </xf>
    <xf numFmtId="0" fontId="46" fillId="0" borderId="0" xfId="0" applyFont="1" applyAlignment="1">
      <alignment vertical="center"/>
    </xf>
    <xf numFmtId="0" fontId="46" fillId="0" borderId="0" xfId="357" applyFont="1" applyAlignment="1">
      <alignment vertical="center"/>
    </xf>
    <xf numFmtId="0" fontId="1" fillId="0" borderId="0" xfId="334"/>
    <xf numFmtId="0" fontId="39" fillId="0" borderId="0" xfId="334" applyFont="1"/>
    <xf numFmtId="0" fontId="50" fillId="0" borderId="0" xfId="355" applyFont="1" applyAlignment="1">
      <alignment vertical="center"/>
    </xf>
    <xf numFmtId="0" fontId="50" fillId="0" borderId="0" xfId="334" applyFont="1" applyBorder="1"/>
    <xf numFmtId="0" fontId="36" fillId="0" borderId="0" xfId="356" applyFont="1" applyBorder="1" applyAlignment="1" applyProtection="1">
      <alignment vertical="top"/>
      <protection hidden="1"/>
    </xf>
    <xf numFmtId="0" fontId="29" fillId="0" borderId="0" xfId="334" applyFont="1" applyBorder="1" applyAlignment="1" applyProtection="1">
      <alignment horizontal="center" vertical="center" wrapText="1"/>
      <protection hidden="1"/>
    </xf>
    <xf numFmtId="166" fontId="30" fillId="0" borderId="0" xfId="334" applyNumberFormat="1" applyFont="1" applyBorder="1" applyAlignment="1" applyProtection="1">
      <alignment horizontal="center" vertical="center"/>
      <protection hidden="1"/>
    </xf>
    <xf numFmtId="0" fontId="30" fillId="0" borderId="0" xfId="334" applyFont="1" applyBorder="1" applyAlignment="1" applyProtection="1">
      <alignment horizontal="center" vertical="center"/>
      <protection hidden="1"/>
    </xf>
    <xf numFmtId="4" fontId="30" fillId="0" borderId="0" xfId="334" applyNumberFormat="1" applyFont="1" applyFill="1" applyBorder="1" applyAlignment="1" applyProtection="1">
      <alignment horizontal="center" vertical="center"/>
      <protection hidden="1"/>
    </xf>
    <xf numFmtId="168" fontId="29" fillId="0" borderId="0" xfId="334" applyNumberFormat="1" applyFont="1" applyBorder="1" applyAlignment="1" applyProtection="1">
      <alignment horizontal="center" vertical="center" wrapText="1"/>
      <protection hidden="1"/>
    </xf>
    <xf numFmtId="0" fontId="29" fillId="0" borderId="0" xfId="334" applyFont="1" applyBorder="1" applyAlignment="1" applyProtection="1">
      <alignment vertical="center"/>
      <protection hidden="1"/>
    </xf>
    <xf numFmtId="0" fontId="51" fillId="0" borderId="0" xfId="334" applyFont="1"/>
    <xf numFmtId="0" fontId="29" fillId="0" borderId="0" xfId="330" applyFont="1" applyBorder="1" applyAlignment="1" applyProtection="1">
      <alignment vertical="center"/>
      <protection hidden="1"/>
    </xf>
    <xf numFmtId="0" fontId="51" fillId="0" borderId="0" xfId="334" applyFont="1" applyBorder="1"/>
    <xf numFmtId="0" fontId="29" fillId="0" borderId="0" xfId="0" applyFont="1" applyBorder="1" applyAlignment="1" applyProtection="1">
      <alignment vertical="center" wrapText="1"/>
      <protection hidden="1"/>
    </xf>
    <xf numFmtId="0" fontId="46" fillId="0" borderId="0" xfId="357" applyFont="1" applyBorder="1" applyAlignment="1">
      <alignment vertical="center"/>
    </xf>
    <xf numFmtId="0" fontId="47" fillId="0" borderId="0" xfId="357" applyFont="1" applyFill="1" applyBorder="1" applyAlignment="1">
      <alignment vertical="center" wrapText="1"/>
    </xf>
    <xf numFmtId="9" fontId="42" fillId="0" borderId="10" xfId="373" applyFont="1" applyBorder="1" applyAlignment="1">
      <alignment horizontal="center" vertical="center"/>
    </xf>
    <xf numFmtId="0" fontId="33" fillId="0" borderId="0" xfId="0" applyFont="1" applyBorder="1" applyAlignment="1"/>
    <xf numFmtId="0" fontId="29" fillId="0" borderId="0" xfId="0" applyFont="1" applyBorder="1" applyAlignment="1" applyProtection="1">
      <alignment vertical="center"/>
      <protection hidden="1"/>
    </xf>
    <xf numFmtId="0" fontId="33" fillId="0" borderId="0" xfId="0" applyFont="1" applyBorder="1" applyAlignment="1">
      <alignment vertical="center" wrapText="1"/>
    </xf>
    <xf numFmtId="0" fontId="31" fillId="48" borderId="10" xfId="0" applyFont="1" applyFill="1" applyBorder="1" applyAlignment="1">
      <alignment horizontal="center" vertical="center"/>
    </xf>
    <xf numFmtId="0" fontId="41" fillId="48" borderId="10" xfId="0" applyFont="1" applyFill="1" applyBorder="1" applyAlignment="1">
      <alignment horizontal="center" vertical="center" wrapText="1"/>
    </xf>
    <xf numFmtId="0" fontId="30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51" fillId="0" borderId="0" xfId="334" applyFont="1" applyAlignment="1"/>
    <xf numFmtId="0" fontId="30" fillId="0" borderId="16" xfId="334" applyFont="1" applyBorder="1" applyAlignment="1" applyProtection="1">
      <alignment vertical="center"/>
      <protection hidden="1"/>
    </xf>
    <xf numFmtId="0" fontId="30" fillId="0" borderId="16" xfId="334" applyFont="1" applyBorder="1" applyAlignment="1" applyProtection="1">
      <alignment horizontal="center" vertical="center"/>
      <protection hidden="1"/>
    </xf>
    <xf numFmtId="0" fontId="29" fillId="0" borderId="0" xfId="330" applyFont="1" applyBorder="1" applyAlignment="1" applyProtection="1">
      <alignment horizontal="center" vertical="center" wrapText="1"/>
      <protection hidden="1"/>
    </xf>
    <xf numFmtId="0" fontId="30" fillId="0" borderId="0" xfId="334" applyFont="1" applyBorder="1" applyAlignment="1" applyProtection="1">
      <alignment horizontal="center" vertical="center" wrapText="1"/>
      <protection hidden="1"/>
    </xf>
    <xf numFmtId="0" fontId="30" fillId="0" borderId="0" xfId="334" applyFont="1" applyBorder="1" applyAlignment="1" applyProtection="1">
      <alignment vertical="center" wrapText="1"/>
      <protection hidden="1"/>
    </xf>
    <xf numFmtId="0" fontId="1" fillId="0" borderId="0" xfId="334" applyFill="1" applyBorder="1"/>
    <xf numFmtId="0" fontId="29" fillId="0" borderId="0" xfId="330" applyFont="1" applyFill="1" applyBorder="1" applyAlignment="1" applyProtection="1">
      <alignment vertical="center" textRotation="90" wrapText="1"/>
      <protection hidden="1"/>
    </xf>
    <xf numFmtId="0" fontId="51" fillId="0" borderId="0" xfId="334" applyFont="1" applyFill="1" applyBorder="1"/>
    <xf numFmtId="0" fontId="30" fillId="0" borderId="0" xfId="334" applyFont="1" applyBorder="1" applyAlignment="1" applyProtection="1">
      <alignment vertical="center"/>
      <protection hidden="1"/>
    </xf>
    <xf numFmtId="0" fontId="30" fillId="0" borderId="0" xfId="330" applyFont="1" applyBorder="1" applyAlignment="1" applyProtection="1">
      <alignment vertical="center" wrapText="1"/>
      <protection hidden="1"/>
    </xf>
    <xf numFmtId="0" fontId="34" fillId="0" borderId="0" xfId="334" applyFont="1" applyBorder="1" applyAlignment="1">
      <alignment horizontal="left" wrapText="1"/>
    </xf>
    <xf numFmtId="0" fontId="30" fillId="0" borderId="0" xfId="330" applyFont="1" applyBorder="1" applyAlignment="1" applyProtection="1">
      <alignment horizontal="center" vertical="center" wrapText="1"/>
      <protection hidden="1"/>
    </xf>
    <xf numFmtId="3" fontId="30" fillId="0" borderId="0" xfId="334" applyNumberFormat="1" applyFont="1" applyBorder="1" applyAlignment="1" applyProtection="1">
      <alignment horizontal="center" vertical="center" wrapText="1"/>
      <protection hidden="1"/>
    </xf>
    <xf numFmtId="3" fontId="30" fillId="0" borderId="0" xfId="334" applyNumberFormat="1" applyFont="1" applyFill="1" applyBorder="1" applyAlignment="1" applyProtection="1">
      <alignment horizontal="center" vertical="center"/>
      <protection hidden="1"/>
    </xf>
    <xf numFmtId="0" fontId="29" fillId="0" borderId="18" xfId="334" applyFont="1" applyBorder="1" applyAlignment="1" applyProtection="1">
      <alignment horizontal="center" vertical="center" wrapText="1"/>
      <protection hidden="1"/>
    </xf>
    <xf numFmtId="166" fontId="30" fillId="0" borderId="18" xfId="334" applyNumberFormat="1" applyFont="1" applyBorder="1" applyAlignment="1" applyProtection="1">
      <alignment horizontal="center" vertical="center"/>
      <protection hidden="1"/>
    </xf>
    <xf numFmtId="0" fontId="30" fillId="0" borderId="18" xfId="334" applyFont="1" applyBorder="1" applyAlignment="1" applyProtection="1">
      <alignment horizontal="center" vertical="center"/>
      <protection hidden="1"/>
    </xf>
    <xf numFmtId="4" fontId="30" fillId="0" borderId="18" xfId="334" applyNumberFormat="1" applyFont="1" applyFill="1" applyBorder="1" applyAlignment="1" applyProtection="1">
      <alignment horizontal="center" vertical="center"/>
      <protection hidden="1"/>
    </xf>
    <xf numFmtId="169" fontId="30" fillId="0" borderId="18" xfId="334" applyNumberFormat="1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 applyProtection="1">
      <alignment vertical="center" wrapText="1"/>
      <protection hidden="1"/>
    </xf>
    <xf numFmtId="1" fontId="30" fillId="0" borderId="10" xfId="0" applyNumberFormat="1" applyFont="1" applyBorder="1" applyAlignment="1" applyProtection="1">
      <alignment horizontal="center" vertical="center"/>
      <protection hidden="1"/>
    </xf>
    <xf numFmtId="166" fontId="30" fillId="0" borderId="12" xfId="0" applyNumberFormat="1" applyFont="1" applyBorder="1" applyAlignment="1" applyProtection="1">
      <alignment horizontal="center" vertical="center"/>
      <protection hidden="1"/>
    </xf>
    <xf numFmtId="166" fontId="30" fillId="0" borderId="13" xfId="0" applyNumberFormat="1" applyFont="1" applyBorder="1" applyAlignment="1" applyProtection="1">
      <alignment horizontal="center" vertical="center"/>
      <protection hidden="1"/>
    </xf>
    <xf numFmtId="1" fontId="30" fillId="0" borderId="12" xfId="0" applyNumberFormat="1" applyFont="1" applyBorder="1" applyAlignment="1" applyProtection="1">
      <alignment horizontal="center" vertical="center"/>
      <protection hidden="1"/>
    </xf>
    <xf numFmtId="166" fontId="30" fillId="0" borderId="11" xfId="0" applyNumberFormat="1" applyFont="1" applyBorder="1" applyAlignment="1" applyProtection="1">
      <alignment horizontal="center" vertical="center"/>
      <protection hidden="1"/>
    </xf>
    <xf numFmtId="14" fontId="37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 wrapText="1"/>
    </xf>
    <xf numFmtId="1" fontId="32" fillId="0" borderId="0" xfId="0" applyNumberFormat="1" applyFont="1" applyAlignment="1">
      <alignment horizontal="center" vertical="center"/>
    </xf>
    <xf numFmtId="0" fontId="51" fillId="0" borderId="0" xfId="334" applyFont="1" applyAlignment="1">
      <alignment horizontal="center" vertical="center"/>
    </xf>
    <xf numFmtId="1" fontId="55" fillId="0" borderId="0" xfId="0" applyNumberFormat="1" applyFont="1" applyBorder="1" applyAlignment="1" applyProtection="1">
      <alignment vertical="center" wrapText="1"/>
      <protection hidden="1"/>
    </xf>
    <xf numFmtId="3" fontId="30" fillId="0" borderId="0" xfId="0" applyNumberFormat="1" applyFont="1"/>
    <xf numFmtId="166" fontId="56" fillId="0" borderId="0" xfId="0" applyNumberFormat="1" applyFont="1"/>
    <xf numFmtId="14" fontId="30" fillId="0" borderId="16" xfId="0" applyNumberFormat="1" applyFont="1" applyBorder="1" applyAlignment="1"/>
    <xf numFmtId="4" fontId="30" fillId="0" borderId="12" xfId="0" applyNumberFormat="1" applyFont="1" applyBorder="1" applyAlignment="1" applyProtection="1">
      <alignment horizontal="center" vertical="center"/>
      <protection hidden="1"/>
    </xf>
    <xf numFmtId="3" fontId="59" fillId="0" borderId="10" xfId="0" applyNumberFormat="1" applyFont="1" applyFill="1" applyBorder="1" applyAlignment="1" applyProtection="1">
      <alignment horizontal="center" vertical="center"/>
      <protection hidden="1"/>
    </xf>
    <xf numFmtId="3" fontId="59" fillId="0" borderId="10" xfId="0" applyNumberFormat="1" applyFont="1" applyBorder="1" applyAlignment="1" applyProtection="1">
      <alignment horizontal="center" vertical="center"/>
      <protection hidden="1"/>
    </xf>
    <xf numFmtId="1" fontId="59" fillId="0" borderId="11" xfId="0" applyNumberFormat="1" applyFont="1" applyFill="1" applyBorder="1" applyAlignment="1" applyProtection="1">
      <alignment horizontal="center" vertical="center"/>
      <protection hidden="1"/>
    </xf>
    <xf numFmtId="1" fontId="59" fillId="0" borderId="12" xfId="0" applyNumberFormat="1" applyFont="1" applyFill="1" applyBorder="1" applyAlignment="1" applyProtection="1">
      <alignment horizontal="center" vertical="center"/>
      <protection hidden="1"/>
    </xf>
    <xf numFmtId="1" fontId="59" fillId="0" borderId="13" xfId="0" applyNumberFormat="1" applyFont="1" applyFill="1" applyBorder="1" applyAlignment="1" applyProtection="1">
      <alignment horizontal="center" vertical="center"/>
      <protection hidden="1"/>
    </xf>
    <xf numFmtId="0" fontId="59" fillId="0" borderId="15" xfId="0" applyFont="1" applyFill="1" applyBorder="1" applyAlignment="1" applyProtection="1">
      <alignment horizontal="center" vertical="center"/>
      <protection hidden="1"/>
    </xf>
    <xf numFmtId="166" fontId="30" fillId="0" borderId="20" xfId="0" applyNumberFormat="1" applyFont="1" applyFill="1" applyBorder="1" applyAlignment="1" applyProtection="1">
      <alignment horizontal="center" vertical="center"/>
      <protection hidden="1"/>
    </xf>
    <xf numFmtId="0" fontId="30" fillId="0" borderId="10" xfId="0" applyFont="1" applyFill="1" applyBorder="1" applyAlignment="1" applyProtection="1">
      <alignment horizontal="center" vertical="center" wrapText="1"/>
      <protection hidden="1"/>
    </xf>
    <xf numFmtId="2" fontId="30" fillId="0" borderId="11" xfId="0" applyNumberFormat="1" applyFont="1" applyFill="1" applyBorder="1" applyAlignment="1">
      <alignment horizontal="center" vertical="center" wrapText="1"/>
    </xf>
    <xf numFmtId="2" fontId="30" fillId="0" borderId="13" xfId="0" applyNumberFormat="1" applyFont="1" applyFill="1" applyBorder="1" applyAlignment="1">
      <alignment horizontal="center" vertical="center" wrapText="1"/>
    </xf>
    <xf numFmtId="2" fontId="30" fillId="0" borderId="15" xfId="0" applyNumberFormat="1" applyFont="1" applyFill="1" applyBorder="1" applyAlignment="1">
      <alignment horizontal="center" vertical="center" wrapText="1"/>
    </xf>
    <xf numFmtId="2" fontId="60" fillId="0" borderId="14" xfId="0" applyNumberFormat="1" applyFont="1" applyBorder="1" applyAlignment="1">
      <alignment horizontal="center" vertical="center"/>
    </xf>
    <xf numFmtId="1" fontId="60" fillId="0" borderId="13" xfId="0" applyNumberFormat="1" applyFont="1" applyBorder="1" applyAlignment="1">
      <alignment horizontal="center" vertical="center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1" fontId="30" fillId="0" borderId="10" xfId="0" applyNumberFormat="1" applyFont="1" applyBorder="1" applyAlignment="1" applyProtection="1">
      <alignment horizontal="center" vertical="center" wrapText="1"/>
      <protection hidden="1"/>
    </xf>
    <xf numFmtId="1" fontId="30" fillId="0" borderId="11" xfId="0" applyNumberFormat="1" applyFont="1" applyBorder="1" applyAlignment="1" applyProtection="1">
      <alignment horizontal="center" vertical="center" wrapText="1"/>
      <protection hidden="1"/>
    </xf>
    <xf numFmtId="1" fontId="30" fillId="0" borderId="13" xfId="0" applyNumberFormat="1" applyFont="1" applyBorder="1" applyAlignment="1" applyProtection="1">
      <alignment horizontal="center" vertical="center" wrapText="1"/>
      <protection hidden="1"/>
    </xf>
    <xf numFmtId="0" fontId="30" fillId="0" borderId="10" xfId="0" applyNumberFormat="1" applyFont="1" applyBorder="1" applyAlignment="1" applyProtection="1">
      <alignment horizontal="center" vertical="center" wrapText="1"/>
      <protection hidden="1"/>
    </xf>
    <xf numFmtId="2" fontId="30" fillId="0" borderId="10" xfId="0" applyNumberFormat="1" applyFont="1" applyBorder="1" applyAlignment="1" applyProtection="1">
      <alignment horizontal="center" vertical="center" wrapText="1"/>
      <protection hidden="1"/>
    </xf>
    <xf numFmtId="2" fontId="30" fillId="0" borderId="10" xfId="0" applyNumberFormat="1" applyFont="1" applyFill="1" applyBorder="1" applyAlignment="1" applyProtection="1">
      <alignment horizontal="center" vertical="center"/>
      <protection hidden="1"/>
    </xf>
    <xf numFmtId="4" fontId="30" fillId="0" borderId="10" xfId="0" applyNumberFormat="1" applyFont="1" applyFill="1" applyBorder="1" applyAlignment="1" applyProtection="1">
      <alignment horizontal="center" vertical="center"/>
      <protection hidden="1"/>
    </xf>
    <xf numFmtId="0" fontId="43" fillId="48" borderId="10" xfId="357" applyFont="1" applyFill="1" applyBorder="1" applyAlignment="1">
      <alignment horizontal="center" vertical="center" wrapText="1"/>
    </xf>
    <xf numFmtId="0" fontId="62" fillId="0" borderId="0" xfId="334" applyFont="1" applyBorder="1" applyAlignment="1">
      <alignment horizontal="right"/>
    </xf>
    <xf numFmtId="0" fontId="39" fillId="0" borderId="0" xfId="355" applyFont="1" applyBorder="1" applyAlignment="1"/>
    <xf numFmtId="0" fontId="62" fillId="0" borderId="0" xfId="357" applyFont="1" applyAlignment="1">
      <alignment vertical="center"/>
    </xf>
    <xf numFmtId="0" fontId="29" fillId="0" borderId="0" xfId="0" applyFont="1" applyBorder="1" applyAlignment="1" applyProtection="1">
      <alignment horizontal="left" vertical="center" wrapText="1"/>
      <protection hidden="1"/>
    </xf>
    <xf numFmtId="3" fontId="30" fillId="0" borderId="10" xfId="0" applyNumberFormat="1" applyFont="1" applyFill="1" applyBorder="1" applyAlignment="1" applyProtection="1">
      <alignment horizontal="center" vertical="center"/>
      <protection hidden="1"/>
    </xf>
    <xf numFmtId="0" fontId="30" fillId="0" borderId="15" xfId="0" applyFont="1" applyBorder="1" applyAlignment="1">
      <alignment horizontal="center" vertical="center" wrapText="1"/>
    </xf>
    <xf numFmtId="166" fontId="30" fillId="0" borderId="14" xfId="0" applyNumberFormat="1" applyFont="1" applyBorder="1" applyAlignment="1" applyProtection="1">
      <alignment horizontal="center" vertical="center"/>
      <protection hidden="1"/>
    </xf>
    <xf numFmtId="0" fontId="30" fillId="0" borderId="14" xfId="0" applyFont="1" applyBorder="1" applyAlignment="1" applyProtection="1">
      <alignment horizontal="center" vertical="center" wrapText="1"/>
      <protection hidden="1"/>
    </xf>
    <xf numFmtId="2" fontId="30" fillId="0" borderId="14" xfId="0" applyNumberFormat="1" applyFont="1" applyBorder="1" applyAlignment="1" applyProtection="1">
      <alignment horizontal="center" vertical="center"/>
      <protection hidden="1"/>
    </xf>
    <xf numFmtId="0" fontId="11" fillId="0" borderId="0" xfId="305"/>
    <xf numFmtId="0" fontId="46" fillId="0" borderId="0" xfId="0" applyFont="1" applyFill="1"/>
    <xf numFmtId="0" fontId="32" fillId="0" borderId="0" xfId="0" applyFont="1" applyFill="1"/>
    <xf numFmtId="0" fontId="0" fillId="0" borderId="0" xfId="0" applyFill="1"/>
    <xf numFmtId="2" fontId="30" fillId="0" borderId="17" xfId="0" applyNumberFormat="1" applyFont="1" applyFill="1" applyBorder="1" applyAlignment="1" applyProtection="1">
      <alignment horizontal="center" vertical="center" wrapText="1"/>
      <protection hidden="1"/>
    </xf>
    <xf numFmtId="2" fontId="30" fillId="0" borderId="13" xfId="0" applyNumberFormat="1" applyFont="1" applyBorder="1" applyAlignment="1" applyProtection="1">
      <alignment horizontal="center" vertical="center" wrapText="1"/>
      <protection hidden="1"/>
    </xf>
    <xf numFmtId="4" fontId="30" fillId="0" borderId="14" xfId="0" applyNumberFormat="1" applyFont="1" applyFill="1" applyBorder="1" applyAlignment="1" applyProtection="1">
      <alignment horizontal="center" vertical="center"/>
      <protection hidden="1"/>
    </xf>
    <xf numFmtId="14" fontId="62" fillId="0" borderId="0" xfId="334" applyNumberFormat="1" applyFont="1" applyBorder="1" applyAlignment="1">
      <alignment horizontal="left"/>
    </xf>
    <xf numFmtId="0" fontId="30" fillId="0" borderId="10" xfId="0" applyFont="1" applyBorder="1" applyAlignment="1">
      <alignment vertical="center" wrapText="1"/>
    </xf>
    <xf numFmtId="2" fontId="30" fillId="0" borderId="10" xfId="0" applyNumberFormat="1" applyFont="1" applyBorder="1" applyAlignment="1">
      <alignment vertical="center" wrapText="1"/>
    </xf>
    <xf numFmtId="166" fontId="30" fillId="0" borderId="10" xfId="0" applyNumberFormat="1" applyFont="1" applyBorder="1" applyAlignment="1" applyProtection="1">
      <alignment vertical="center" wrapText="1"/>
      <protection hidden="1"/>
    </xf>
    <xf numFmtId="0" fontId="1" fillId="0" borderId="10" xfId="334" applyBorder="1"/>
    <xf numFmtId="3" fontId="59" fillId="0" borderId="15" xfId="0" applyNumberFormat="1" applyFont="1" applyFill="1" applyBorder="1" applyAlignment="1" applyProtection="1">
      <alignment horizontal="center" vertical="center"/>
      <protection hidden="1"/>
    </xf>
    <xf numFmtId="3" fontId="55" fillId="0" borderId="11" xfId="0" applyNumberFormat="1" applyFont="1" applyFill="1" applyBorder="1" applyAlignment="1" applyProtection="1">
      <alignment horizontal="center" vertical="center"/>
      <protection hidden="1"/>
    </xf>
    <xf numFmtId="3" fontId="55" fillId="0" borderId="12" xfId="0" applyNumberFormat="1" applyFont="1" applyFill="1" applyBorder="1" applyAlignment="1" applyProtection="1">
      <alignment horizontal="center" vertical="center"/>
      <protection hidden="1"/>
    </xf>
    <xf numFmtId="3" fontId="55" fillId="0" borderId="13" xfId="0" applyNumberFormat="1" applyFont="1" applyFill="1" applyBorder="1" applyAlignment="1" applyProtection="1">
      <alignment horizontal="center" vertical="center"/>
      <protection hidden="1"/>
    </xf>
    <xf numFmtId="0" fontId="43" fillId="48" borderId="31" xfId="357" applyFont="1" applyFill="1" applyBorder="1" applyAlignment="1">
      <alignment horizontal="center" vertical="center" wrapText="1"/>
    </xf>
    <xf numFmtId="3" fontId="59" fillId="0" borderId="11" xfId="0" applyNumberFormat="1" applyFont="1" applyFill="1" applyBorder="1" applyAlignment="1" applyProtection="1">
      <alignment horizontal="center" vertical="center"/>
      <protection hidden="1"/>
    </xf>
    <xf numFmtId="3" fontId="59" fillId="0" borderId="12" xfId="0" applyNumberFormat="1" applyFont="1" applyFill="1" applyBorder="1" applyAlignment="1" applyProtection="1">
      <alignment horizontal="center" vertical="center"/>
      <protection hidden="1"/>
    </xf>
    <xf numFmtId="3" fontId="59" fillId="0" borderId="13" xfId="0" applyNumberFormat="1" applyFont="1" applyFill="1" applyBorder="1" applyAlignment="1" applyProtection="1">
      <alignment horizontal="center" vertical="center"/>
      <protection hidden="1"/>
    </xf>
    <xf numFmtId="0" fontId="69" fillId="0" borderId="0" xfId="0" applyFont="1"/>
    <xf numFmtId="2" fontId="37" fillId="0" borderId="0" xfId="0" applyNumberFormat="1" applyFont="1" applyFill="1" applyBorder="1" applyAlignment="1" applyProtection="1">
      <alignment horizontal="center" vertical="center" wrapText="1"/>
      <protection hidden="1"/>
    </xf>
    <xf numFmtId="1" fontId="68" fillId="0" borderId="0" xfId="0" applyNumberFormat="1" applyFont="1"/>
    <xf numFmtId="0" fontId="64" fillId="0" borderId="0" xfId="356" applyFont="1" applyBorder="1" applyAlignment="1" applyProtection="1">
      <protection hidden="1"/>
    </xf>
    <xf numFmtId="0" fontId="62" fillId="0" borderId="0" xfId="0" applyFont="1"/>
    <xf numFmtId="0" fontId="63" fillId="0" borderId="0" xfId="0" applyFont="1" applyBorder="1" applyAlignment="1" applyProtection="1">
      <alignment vertical="center" wrapText="1"/>
      <protection hidden="1"/>
    </xf>
    <xf numFmtId="0" fontId="67" fillId="0" borderId="0" xfId="0" applyFont="1" applyBorder="1" applyAlignment="1">
      <alignment vertical="center" wrapText="1"/>
    </xf>
    <xf numFmtId="0" fontId="62" fillId="49" borderId="0" xfId="0" applyFont="1" applyFill="1"/>
    <xf numFmtId="0" fontId="30" fillId="49" borderId="0" xfId="0" applyFont="1" applyFill="1"/>
    <xf numFmtId="0" fontId="70" fillId="0" borderId="0" xfId="334" applyFont="1"/>
    <xf numFmtId="0" fontId="71" fillId="0" borderId="0" xfId="334" applyFont="1"/>
    <xf numFmtId="0" fontId="72" fillId="49" borderId="0" xfId="334" applyFont="1" applyFill="1"/>
    <xf numFmtId="0" fontId="1" fillId="49" borderId="0" xfId="334" applyFill="1"/>
    <xf numFmtId="0" fontId="71" fillId="49" borderId="0" xfId="334" applyFont="1" applyFill="1"/>
    <xf numFmtId="0" fontId="1" fillId="0" borderId="0" xfId="334" applyFill="1"/>
    <xf numFmtId="0" fontId="44" fillId="0" borderId="0" xfId="356" applyFont="1" applyFill="1" applyBorder="1" applyAlignment="1" applyProtection="1">
      <alignment vertical="top"/>
      <protection hidden="1"/>
    </xf>
    <xf numFmtId="0" fontId="51" fillId="0" borderId="0" xfId="334" applyFont="1" applyFill="1"/>
    <xf numFmtId="0" fontId="30" fillId="0" borderId="0" xfId="0" applyFont="1" applyFill="1" applyAlignment="1">
      <alignment vertical="center" wrapText="1"/>
    </xf>
    <xf numFmtId="1" fontId="30" fillId="49" borderId="0" xfId="0" applyNumberFormat="1" applyFont="1" applyFill="1"/>
    <xf numFmtId="1" fontId="30" fillId="0" borderId="11" xfId="0" applyNumberFormat="1" applyFont="1" applyBorder="1" applyAlignment="1" applyProtection="1">
      <alignment horizontal="center" vertical="center"/>
      <protection hidden="1"/>
    </xf>
    <xf numFmtId="1" fontId="30" fillId="0" borderId="20" xfId="0" applyNumberFormat="1" applyFont="1" applyFill="1" applyBorder="1" applyAlignment="1" applyProtection="1">
      <alignment horizontal="center" vertical="center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2" fontId="30" fillId="0" borderId="30" xfId="0" applyNumberFormat="1" applyFont="1" applyBorder="1" applyAlignment="1" applyProtection="1">
      <alignment horizontal="center" vertical="center"/>
      <protection hidden="1"/>
    </xf>
    <xf numFmtId="3" fontId="55" fillId="0" borderId="30" xfId="0" applyNumberFormat="1" applyFont="1" applyFill="1" applyBorder="1" applyAlignment="1" applyProtection="1">
      <alignment horizontal="center" vertical="center"/>
      <protection hidden="1"/>
    </xf>
    <xf numFmtId="3" fontId="55" fillId="0" borderId="14" xfId="0" applyNumberFormat="1" applyFont="1" applyFill="1" applyBorder="1" applyAlignment="1" applyProtection="1">
      <alignment horizontal="center" vertical="center"/>
      <protection hidden="1"/>
    </xf>
    <xf numFmtId="166" fontId="30" fillId="0" borderId="10" xfId="0" applyNumberFormat="1" applyFont="1" applyBorder="1" applyAlignment="1">
      <alignment horizontal="center" vertical="center" wrapText="1"/>
    </xf>
    <xf numFmtId="1" fontId="30" fillId="0" borderId="10" xfId="0" applyNumberFormat="1" applyFont="1" applyBorder="1" applyAlignment="1">
      <alignment horizontal="center" vertical="center" wrapText="1"/>
    </xf>
    <xf numFmtId="0" fontId="32" fillId="0" borderId="0" xfId="0" applyFont="1" applyBorder="1"/>
    <xf numFmtId="1" fontId="29" fillId="0" borderId="11" xfId="0" applyNumberFormat="1" applyFont="1" applyBorder="1" applyAlignment="1">
      <alignment horizontal="center" vertical="center" wrapText="1"/>
    </xf>
    <xf numFmtId="166" fontId="29" fillId="0" borderId="13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9" fillId="0" borderId="0" xfId="356" applyFont="1" applyBorder="1" applyAlignment="1" applyProtection="1">
      <alignment vertical="center" wrapText="1"/>
      <protection hidden="1"/>
    </xf>
    <xf numFmtId="0" fontId="36" fillId="0" borderId="0" xfId="356" applyFont="1" applyBorder="1" applyAlignment="1" applyProtection="1">
      <protection hidden="1"/>
    </xf>
    <xf numFmtId="3" fontId="34" fillId="0" borderId="11" xfId="0" applyNumberFormat="1" applyFont="1" applyFill="1" applyBorder="1" applyAlignment="1" applyProtection="1">
      <alignment horizontal="center" vertical="center"/>
      <protection hidden="1"/>
    </xf>
    <xf numFmtId="1" fontId="34" fillId="49" borderId="12" xfId="0" applyNumberFormat="1" applyFont="1" applyFill="1" applyBorder="1" applyAlignment="1" applyProtection="1">
      <alignment horizontal="center" vertical="center" wrapText="1"/>
      <protection hidden="1"/>
    </xf>
    <xf numFmtId="1" fontId="34" fillId="49" borderId="11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14" xfId="0" applyFont="1" applyBorder="1" applyAlignment="1" applyProtection="1">
      <alignment horizontal="center" vertical="center"/>
      <protection hidden="1"/>
    </xf>
    <xf numFmtId="3" fontId="34" fillId="0" borderId="13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Font="1" applyFill="1"/>
    <xf numFmtId="0" fontId="34" fillId="0" borderId="0" xfId="0" applyFont="1" applyFill="1"/>
    <xf numFmtId="14" fontId="30" fillId="0" borderId="0" xfId="0" applyNumberFormat="1" applyFont="1" applyAlignment="1">
      <alignment horizontal="right"/>
    </xf>
    <xf numFmtId="0" fontId="29" fillId="0" borderId="0" xfId="0" applyFont="1" applyBorder="1" applyAlignment="1" applyProtection="1">
      <protection hidden="1"/>
    </xf>
    <xf numFmtId="0" fontId="80" fillId="0" borderId="0" xfId="0" applyFont="1" applyAlignment="1">
      <alignment vertical="top"/>
    </xf>
    <xf numFmtId="3" fontId="34" fillId="0" borderId="14" xfId="0" applyNumberFormat="1" applyFont="1" applyFill="1" applyBorder="1" applyAlignment="1" applyProtection="1">
      <alignment horizontal="center" vertical="center"/>
      <protection hidden="1"/>
    </xf>
    <xf numFmtId="0" fontId="68" fillId="0" borderId="0" xfId="0" applyFont="1"/>
    <xf numFmtId="0" fontId="30" fillId="0" borderId="11" xfId="0" applyFont="1" applyFill="1" applyBorder="1" applyAlignment="1" applyProtection="1">
      <alignment horizontal="center" vertical="center" wrapText="1"/>
      <protection hidden="1"/>
    </xf>
    <xf numFmtId="0" fontId="30" fillId="0" borderId="12" xfId="0" applyFont="1" applyFill="1" applyBorder="1" applyAlignment="1" applyProtection="1">
      <alignment horizontal="center" vertical="center" wrapText="1"/>
      <protection hidden="1"/>
    </xf>
    <xf numFmtId="0" fontId="30" fillId="0" borderId="13" xfId="0" applyFont="1" applyFill="1" applyBorder="1" applyAlignment="1" applyProtection="1">
      <alignment horizontal="center" vertical="center" wrapText="1"/>
      <protection hidden="1"/>
    </xf>
    <xf numFmtId="0" fontId="30" fillId="0" borderId="14" xfId="0" applyFont="1" applyFill="1" applyBorder="1" applyAlignment="1" applyProtection="1">
      <alignment horizontal="center" vertical="center" wrapText="1"/>
      <protection hidden="1"/>
    </xf>
    <xf numFmtId="0" fontId="29" fillId="51" borderId="10" xfId="0" applyFont="1" applyFill="1" applyBorder="1" applyAlignment="1">
      <alignment horizontal="center" vertical="center" wrapText="1"/>
    </xf>
    <xf numFmtId="3" fontId="29" fillId="51" borderId="10" xfId="0" applyNumberFormat="1" applyFont="1" applyFill="1" applyBorder="1" applyAlignment="1" applyProtection="1">
      <alignment horizontal="center" vertical="center" wrapText="1"/>
      <protection hidden="1"/>
    </xf>
    <xf numFmtId="3" fontId="34" fillId="0" borderId="15" xfId="0" applyNumberFormat="1" applyFont="1" applyFill="1" applyBorder="1" applyAlignment="1" applyProtection="1">
      <alignment horizontal="center" vertical="center"/>
      <protection hidden="1"/>
    </xf>
    <xf numFmtId="0" fontId="68" fillId="0" borderId="0" xfId="0" applyFont="1" applyBorder="1" applyAlignment="1">
      <alignment horizontal="center"/>
    </xf>
    <xf numFmtId="0" fontId="29" fillId="0" borderId="0" xfId="0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Border="1" applyAlignment="1" applyProtection="1">
      <alignment horizontal="left" vertical="center" wrapText="1" indent="3"/>
      <protection hidden="1"/>
    </xf>
    <xf numFmtId="0" fontId="30" fillId="0" borderId="0" xfId="0" applyFont="1" applyFill="1" applyBorder="1" applyAlignment="1" applyProtection="1">
      <alignment horizontal="center" vertical="center" wrapText="1"/>
      <protection hidden="1"/>
    </xf>
    <xf numFmtId="1" fontId="30" fillId="0" borderId="0" xfId="0" applyNumberFormat="1" applyFont="1" applyFill="1" applyBorder="1" applyAlignment="1" applyProtection="1">
      <alignment horizontal="center" vertical="center" wrapText="1"/>
      <protection hidden="1"/>
    </xf>
    <xf numFmtId="3" fontId="34" fillId="0" borderId="0" xfId="0" applyNumberFormat="1" applyFont="1" applyFill="1" applyBorder="1" applyAlignment="1" applyProtection="1">
      <alignment horizontal="center" vertical="center"/>
      <protection hidden="1"/>
    </xf>
    <xf numFmtId="0" fontId="29" fillId="52" borderId="10" xfId="0" applyFont="1" applyFill="1" applyBorder="1" applyAlignment="1" applyProtection="1">
      <alignment horizontal="center" vertical="center" wrapText="1"/>
      <protection hidden="1"/>
    </xf>
    <xf numFmtId="0" fontId="29" fillId="52" borderId="10" xfId="0" applyNumberFormat="1" applyFont="1" applyFill="1" applyBorder="1" applyAlignment="1" applyProtection="1">
      <alignment horizontal="center" vertical="center" wrapText="1"/>
      <protection hidden="1"/>
    </xf>
    <xf numFmtId="3" fontId="29" fillId="52" borderId="10" xfId="0" applyNumberFormat="1" applyFont="1" applyFill="1" applyBorder="1" applyAlignment="1" applyProtection="1">
      <alignment horizontal="center" vertical="center" wrapText="1"/>
      <protection hidden="1"/>
    </xf>
    <xf numFmtId="4" fontId="30" fillId="0" borderId="11" xfId="0" applyNumberFormat="1" applyFont="1" applyFill="1" applyBorder="1" applyAlignment="1" applyProtection="1">
      <alignment horizontal="center" vertical="center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25" fillId="0" borderId="10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Alignment="1">
      <alignment horizontal="center"/>
    </xf>
    <xf numFmtId="0" fontId="73" fillId="53" borderId="0" xfId="0" applyFont="1" applyFill="1" applyBorder="1" applyAlignment="1" applyProtection="1">
      <alignment horizontal="center" vertical="center" wrapText="1"/>
      <protection hidden="1"/>
    </xf>
    <xf numFmtId="1" fontId="84" fillId="53" borderId="0" xfId="0" applyNumberFormat="1" applyFont="1" applyFill="1" applyBorder="1" applyAlignment="1" applyProtection="1">
      <alignment horizontal="center" vertical="center" wrapText="1"/>
      <protection hidden="1"/>
    </xf>
    <xf numFmtId="2" fontId="32" fillId="53" borderId="0" xfId="0" applyNumberFormat="1" applyFont="1" applyFill="1" applyAlignment="1">
      <alignment horizontal="center"/>
    </xf>
    <xf numFmtId="0" fontId="32" fillId="53" borderId="0" xfId="0" applyFont="1" applyFill="1" applyAlignment="1">
      <alignment horizontal="center"/>
    </xf>
    <xf numFmtId="0" fontId="84" fillId="53" borderId="0" xfId="0" applyFont="1" applyFill="1" applyAlignment="1">
      <alignment horizontal="center"/>
    </xf>
    <xf numFmtId="0" fontId="84" fillId="53" borderId="0" xfId="0" applyFont="1" applyFill="1" applyAlignment="1">
      <alignment horizontal="center" vertical="center"/>
    </xf>
    <xf numFmtId="0" fontId="48" fillId="48" borderId="31" xfId="357" applyFont="1" applyFill="1" applyBorder="1" applyAlignment="1">
      <alignment horizontal="center" vertical="center" wrapText="1"/>
    </xf>
    <xf numFmtId="0" fontId="84" fillId="53" borderId="0" xfId="0" applyFont="1" applyFill="1" applyBorder="1" applyAlignment="1">
      <alignment horizontal="center" vertical="center"/>
    </xf>
    <xf numFmtId="4" fontId="30" fillId="0" borderId="14" xfId="0" applyNumberFormat="1" applyFont="1" applyBorder="1" applyAlignment="1" applyProtection="1">
      <alignment horizontal="center" vertical="center"/>
      <protection hidden="1"/>
    </xf>
    <xf numFmtId="4" fontId="30" fillId="0" borderId="30" xfId="0" applyNumberFormat="1" applyFont="1" applyFill="1" applyBorder="1" applyAlignment="1" applyProtection="1">
      <alignment horizontal="center" vertical="center"/>
      <protection hidden="1"/>
    </xf>
    <xf numFmtId="4" fontId="30" fillId="0" borderId="30" xfId="0" applyNumberFormat="1" applyFont="1" applyBorder="1" applyAlignment="1" applyProtection="1">
      <alignment horizontal="center" vertical="center"/>
      <protection hidden="1"/>
    </xf>
    <xf numFmtId="2" fontId="30" fillId="0" borderId="14" xfId="0" applyNumberFormat="1" applyFont="1" applyBorder="1" applyAlignment="1" applyProtection="1">
      <alignment horizontal="center" vertical="center" wrapText="1"/>
      <protection hidden="1"/>
    </xf>
    <xf numFmtId="2" fontId="30" fillId="0" borderId="17" xfId="0" applyNumberFormat="1" applyFont="1" applyFill="1" applyBorder="1" applyAlignment="1" applyProtection="1">
      <alignment horizontal="center" vertical="center"/>
      <protection hidden="1"/>
    </xf>
    <xf numFmtId="0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30" fillId="0" borderId="17" xfId="0" applyNumberFormat="1" applyFont="1" applyBorder="1" applyAlignment="1" applyProtection="1">
      <alignment horizontal="center" vertical="center" wrapText="1"/>
      <protection hidden="1"/>
    </xf>
    <xf numFmtId="0" fontId="30" fillId="0" borderId="20" xfId="0" applyNumberFormat="1" applyFont="1" applyBorder="1" applyAlignment="1" applyProtection="1">
      <alignment horizontal="center" vertical="center" wrapText="1"/>
      <protection hidden="1"/>
    </xf>
    <xf numFmtId="0" fontId="3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3" fontId="59" fillId="0" borderId="17" xfId="0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left" vertical="center" wrapText="1"/>
      <protection hidden="1"/>
    </xf>
    <xf numFmtId="1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30" fillId="0" borderId="1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 wrapText="1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20" xfId="0" applyFont="1" applyFill="1" applyBorder="1" applyAlignment="1" applyProtection="1">
      <alignment horizontal="center" vertical="center" wrapText="1"/>
      <protection hidden="1"/>
    </xf>
    <xf numFmtId="2" fontId="30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43" fillId="48" borderId="10" xfId="357" applyFont="1" applyFill="1" applyBorder="1" applyAlignment="1">
      <alignment horizontal="center" vertical="center" wrapText="1"/>
    </xf>
    <xf numFmtId="1" fontId="30" fillId="0" borderId="17" xfId="0" applyNumberFormat="1" applyFont="1" applyBorder="1" applyAlignment="1" applyProtection="1">
      <alignment horizontal="center" vertical="center" wrapText="1"/>
      <protection hidden="1"/>
    </xf>
    <xf numFmtId="0" fontId="33" fillId="0" borderId="0" xfId="0" applyFont="1" applyBorder="1" applyAlignment="1">
      <alignment horizontal="left" vertical="center" wrapText="1"/>
    </xf>
    <xf numFmtId="0" fontId="29" fillId="0" borderId="0" xfId="0" applyFont="1" applyBorder="1" applyAlignment="1" applyProtection="1">
      <alignment horizontal="left" vertical="center" wrapText="1"/>
      <protection hidden="1"/>
    </xf>
    <xf numFmtId="0" fontId="84" fillId="0" borderId="28" xfId="0" applyFont="1" applyBorder="1" applyAlignment="1" applyProtection="1">
      <alignment horizontal="center" vertical="center" wrapText="1"/>
      <protection hidden="1"/>
    </xf>
    <xf numFmtId="2" fontId="84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84" fillId="0" borderId="14" xfId="0" applyNumberFormat="1" applyFont="1" applyBorder="1" applyAlignment="1" applyProtection="1">
      <alignment horizontal="center" vertical="center"/>
      <protection hidden="1"/>
    </xf>
    <xf numFmtId="0" fontId="84" fillId="0" borderId="12" xfId="0" applyNumberFormat="1" applyFont="1" applyBorder="1" applyAlignment="1" applyProtection="1">
      <alignment horizontal="center" vertical="center"/>
      <protection hidden="1"/>
    </xf>
    <xf numFmtId="0" fontId="84" fillId="0" borderId="13" xfId="0" applyNumberFormat="1" applyFont="1" applyFill="1" applyBorder="1" applyAlignment="1" applyProtection="1">
      <alignment horizontal="center" vertical="center"/>
      <protection hidden="1"/>
    </xf>
    <xf numFmtId="0" fontId="84" fillId="0" borderId="30" xfId="0" applyNumberFormat="1" applyFont="1" applyBorder="1" applyAlignment="1" applyProtection="1">
      <alignment horizontal="center" vertical="center"/>
      <protection hidden="1"/>
    </xf>
    <xf numFmtId="0" fontId="84" fillId="0" borderId="11" xfId="0" applyNumberFormat="1" applyFont="1" applyFill="1" applyBorder="1" applyAlignment="1" applyProtection="1">
      <alignment horizontal="center" vertical="center"/>
      <protection hidden="1"/>
    </xf>
    <xf numFmtId="0" fontId="84" fillId="0" borderId="14" xfId="0" applyNumberFormat="1" applyFont="1" applyFill="1" applyBorder="1" applyAlignment="1" applyProtection="1">
      <alignment horizontal="center" vertical="center"/>
      <protection hidden="1"/>
    </xf>
    <xf numFmtId="0" fontId="84" fillId="0" borderId="30" xfId="0" applyNumberFormat="1" applyFont="1" applyFill="1" applyBorder="1" applyAlignment="1" applyProtection="1">
      <alignment horizontal="center" vertical="center"/>
      <protection hidden="1"/>
    </xf>
    <xf numFmtId="166" fontId="30" fillId="0" borderId="11" xfId="0" applyNumberFormat="1" applyFont="1" applyFill="1" applyBorder="1" applyAlignment="1" applyProtection="1">
      <alignment horizontal="center" vertical="center"/>
      <protection hidden="1"/>
    </xf>
    <xf numFmtId="166" fontId="30" fillId="0" borderId="13" xfId="0" applyNumberFormat="1" applyFont="1" applyFill="1" applyBorder="1" applyAlignment="1" applyProtection="1">
      <alignment horizontal="center" vertical="center"/>
      <protection hidden="1"/>
    </xf>
    <xf numFmtId="166" fontId="30" fillId="0" borderId="14" xfId="0" applyNumberFormat="1" applyFont="1" applyFill="1" applyBorder="1" applyAlignment="1" applyProtection="1">
      <alignment horizontal="center" vertical="center"/>
      <protection hidden="1"/>
    </xf>
    <xf numFmtId="166" fontId="30" fillId="0" borderId="30" xfId="0" applyNumberFormat="1" applyFont="1" applyFill="1" applyBorder="1" applyAlignment="1" applyProtection="1">
      <alignment horizontal="center" vertical="center"/>
      <protection hidden="1"/>
    </xf>
    <xf numFmtId="166" fontId="30" fillId="0" borderId="12" xfId="0" applyNumberFormat="1" applyFont="1" applyFill="1" applyBorder="1" applyAlignment="1" applyProtection="1">
      <alignment horizontal="center" vertical="center"/>
      <protection hidden="1"/>
    </xf>
    <xf numFmtId="166" fontId="30" fillId="0" borderId="30" xfId="0" applyNumberFormat="1" applyFont="1" applyBorder="1" applyAlignment="1" applyProtection="1">
      <alignment horizontal="center" vertical="center"/>
      <protection hidden="1"/>
    </xf>
    <xf numFmtId="0" fontId="29" fillId="0" borderId="28" xfId="0" applyFont="1" applyBorder="1" applyAlignment="1" applyProtection="1">
      <alignment vertical="center" wrapText="1"/>
      <protection hidden="1"/>
    </xf>
    <xf numFmtId="0" fontId="29" fillId="0" borderId="28" xfId="0" applyFont="1" applyFill="1" applyBorder="1" applyAlignment="1" applyProtection="1">
      <alignment vertical="center" wrapText="1"/>
      <protection hidden="1"/>
    </xf>
    <xf numFmtId="0" fontId="29" fillId="0" borderId="35" xfId="0" applyFont="1" applyFill="1" applyBorder="1" applyAlignment="1" applyProtection="1">
      <alignment vertical="center"/>
      <protection hidden="1"/>
    </xf>
    <xf numFmtId="0" fontId="29" fillId="0" borderId="37" xfId="0" applyFont="1" applyFill="1" applyBorder="1" applyAlignment="1" applyProtection="1">
      <alignment vertical="center"/>
      <protection hidden="1"/>
    </xf>
    <xf numFmtId="0" fontId="29" fillId="0" borderId="33" xfId="0" applyFont="1" applyFill="1" applyBorder="1" applyAlignment="1" applyProtection="1">
      <alignment vertical="center"/>
      <protection hidden="1"/>
    </xf>
    <xf numFmtId="2" fontId="30" fillId="0" borderId="18" xfId="0" applyNumberFormat="1" applyFont="1" applyFill="1" applyBorder="1" applyAlignment="1" applyProtection="1">
      <alignment vertical="center" wrapText="1"/>
      <protection hidden="1"/>
    </xf>
    <xf numFmtId="2" fontId="30" fillId="0" borderId="31" xfId="0" applyNumberFormat="1" applyFont="1" applyFill="1" applyBorder="1" applyAlignment="1" applyProtection="1">
      <alignment vertical="center" wrapText="1"/>
      <protection hidden="1"/>
    </xf>
    <xf numFmtId="0" fontId="30" fillId="0" borderId="28" xfId="0" applyFont="1" applyBorder="1" applyAlignment="1" applyProtection="1">
      <alignment vertical="center" wrapText="1"/>
      <protection hidden="1"/>
    </xf>
    <xf numFmtId="2" fontId="30" fillId="0" borderId="11" xfId="0" applyNumberFormat="1" applyFont="1" applyFill="1" applyBorder="1" applyAlignment="1" applyProtection="1">
      <alignment horizontal="center" vertical="center" wrapText="1"/>
      <protection hidden="1"/>
    </xf>
    <xf numFmtId="2" fontId="30" fillId="0" borderId="12" xfId="0" applyNumberFormat="1" applyFont="1" applyFill="1" applyBorder="1" applyAlignment="1" applyProtection="1">
      <alignment horizontal="center" vertical="center" wrapText="1"/>
      <protection hidden="1"/>
    </xf>
    <xf numFmtId="2" fontId="30" fillId="0" borderId="13" xfId="0" applyNumberFormat="1" applyFont="1" applyFill="1" applyBorder="1" applyAlignment="1" applyProtection="1">
      <alignment horizontal="center" vertical="center" wrapText="1"/>
      <protection hidden="1"/>
    </xf>
    <xf numFmtId="2" fontId="29" fillId="0" borderId="35" xfId="0" applyNumberFormat="1" applyFont="1" applyFill="1" applyBorder="1" applyAlignment="1" applyProtection="1">
      <alignment horizontal="center" vertical="center" wrapText="1"/>
      <protection hidden="1"/>
    </xf>
    <xf numFmtId="2" fontId="29" fillId="0" borderId="37" xfId="0" applyNumberFormat="1" applyFont="1" applyFill="1" applyBorder="1" applyAlignment="1" applyProtection="1">
      <alignment horizontal="center" vertical="center" wrapText="1"/>
      <protection hidden="1"/>
    </xf>
    <xf numFmtId="2" fontId="29" fillId="0" borderId="33" xfId="0" applyNumberFormat="1" applyFont="1" applyFill="1" applyBorder="1" applyAlignment="1" applyProtection="1">
      <alignment horizontal="center" vertical="center" wrapText="1"/>
      <protection hidden="1"/>
    </xf>
    <xf numFmtId="2" fontId="84" fillId="0" borderId="35" xfId="0" applyNumberFormat="1" applyFont="1" applyFill="1" applyBorder="1" applyAlignment="1" applyProtection="1">
      <alignment horizontal="center" vertical="center" wrapText="1"/>
      <protection hidden="1"/>
    </xf>
    <xf numFmtId="2" fontId="84" fillId="0" borderId="33" xfId="0" applyNumberFormat="1" applyFont="1" applyFill="1" applyBorder="1" applyAlignment="1" applyProtection="1">
      <alignment horizontal="center" vertical="center" wrapText="1"/>
      <protection hidden="1"/>
    </xf>
    <xf numFmtId="2" fontId="84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36" fillId="0" borderId="16" xfId="356" applyFont="1" applyBorder="1" applyAlignment="1" applyProtection="1">
      <alignment vertical="center"/>
      <protection hidden="1"/>
    </xf>
    <xf numFmtId="0" fontId="29" fillId="0" borderId="0" xfId="0" applyFont="1" applyBorder="1" applyAlignment="1" applyProtection="1">
      <alignment horizontal="left" wrapText="1"/>
      <protection hidden="1"/>
    </xf>
    <xf numFmtId="0" fontId="82" fillId="0" borderId="0" xfId="0" applyFont="1" applyBorder="1" applyAlignment="1" applyProtection="1">
      <alignment vertical="center" wrapText="1"/>
      <protection hidden="1"/>
    </xf>
    <xf numFmtId="0" fontId="82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left" vertical="center" wrapText="1"/>
    </xf>
    <xf numFmtId="0" fontId="29" fillId="0" borderId="0" xfId="0" applyFont="1" applyBorder="1" applyAlignment="1" applyProtection="1">
      <alignment horizontal="left" vertical="center" wrapText="1"/>
      <protection hidden="1"/>
    </xf>
    <xf numFmtId="0" fontId="30" fillId="0" borderId="10" xfId="0" applyFont="1" applyBorder="1" applyAlignment="1">
      <alignment horizontal="center" vertical="center" wrapText="1"/>
    </xf>
    <xf numFmtId="0" fontId="30" fillId="0" borderId="17" xfId="334" applyFont="1" applyBorder="1" applyAlignment="1" applyProtection="1">
      <alignment horizontal="center" vertical="center" wrapText="1"/>
      <protection hidden="1"/>
    </xf>
    <xf numFmtId="0" fontId="33" fillId="48" borderId="10" xfId="334" applyFont="1" applyFill="1" applyBorder="1" applyAlignment="1">
      <alignment horizontal="center" vertical="center"/>
    </xf>
    <xf numFmtId="0" fontId="26" fillId="0" borderId="0" xfId="334" applyFont="1" applyBorder="1" applyAlignment="1" applyProtection="1">
      <alignment horizontal="left" vertical="top"/>
      <protection hidden="1"/>
    </xf>
    <xf numFmtId="9" fontId="46" fillId="0" borderId="10" xfId="373" applyFont="1" applyBorder="1" applyAlignment="1">
      <alignment horizontal="center" vertical="center"/>
    </xf>
    <xf numFmtId="0" fontId="30" fillId="0" borderId="1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166" fontId="30" fillId="55" borderId="14" xfId="0" applyNumberFormat="1" applyFont="1" applyFill="1" applyBorder="1" applyAlignment="1" applyProtection="1">
      <alignment horizontal="center" vertical="center"/>
      <protection hidden="1"/>
    </xf>
    <xf numFmtId="0" fontId="84" fillId="55" borderId="14" xfId="0" applyNumberFormat="1" applyFont="1" applyFill="1" applyBorder="1" applyAlignment="1" applyProtection="1">
      <alignment horizontal="center" vertical="center"/>
      <protection hidden="1"/>
    </xf>
    <xf numFmtId="0" fontId="30" fillId="55" borderId="14" xfId="0" applyFont="1" applyFill="1" applyBorder="1" applyAlignment="1" applyProtection="1">
      <alignment horizontal="center" vertical="center" wrapText="1"/>
      <protection hidden="1"/>
    </xf>
    <xf numFmtId="4" fontId="30" fillId="55" borderId="14" xfId="0" applyNumberFormat="1" applyFont="1" applyFill="1" applyBorder="1" applyAlignment="1" applyProtection="1">
      <alignment horizontal="center" vertical="center"/>
      <protection hidden="1"/>
    </xf>
    <xf numFmtId="3" fontId="59" fillId="55" borderId="14" xfId="0" applyNumberFormat="1" applyFont="1" applyFill="1" applyBorder="1" applyAlignment="1" applyProtection="1">
      <alignment horizontal="center" vertical="center"/>
      <protection hidden="1"/>
    </xf>
    <xf numFmtId="166" fontId="30" fillId="0" borderId="12" xfId="394" applyNumberFormat="1" applyFont="1" applyBorder="1" applyAlignment="1" applyProtection="1">
      <alignment horizontal="center" vertical="center"/>
      <protection hidden="1"/>
    </xf>
    <xf numFmtId="2" fontId="29" fillId="0" borderId="20" xfId="0" applyNumberFormat="1" applyFont="1" applyFill="1" applyBorder="1" applyAlignment="1">
      <alignment vertical="center" wrapText="1"/>
    </xf>
    <xf numFmtId="2" fontId="29" fillId="0" borderId="15" xfId="0" applyNumberFormat="1" applyFont="1" applyFill="1" applyBorder="1" applyAlignment="1">
      <alignment vertical="center" wrapText="1"/>
    </xf>
    <xf numFmtId="0" fontId="36" fillId="0" borderId="16" xfId="356" applyFont="1" applyBorder="1" applyAlignment="1" applyProtection="1">
      <alignment vertical="top"/>
      <protection hidden="1"/>
    </xf>
    <xf numFmtId="14" fontId="30" fillId="0" borderId="16" xfId="0" applyNumberFormat="1" applyFont="1" applyBorder="1" applyAlignment="1">
      <alignment horizontal="right"/>
    </xf>
    <xf numFmtId="166" fontId="30" fillId="0" borderId="11" xfId="334" applyNumberFormat="1" applyFont="1" applyBorder="1" applyAlignment="1" applyProtection="1">
      <alignment horizontal="center" vertical="center"/>
      <protection hidden="1"/>
    </xf>
    <xf numFmtId="0" fontId="30" fillId="0" borderId="11" xfId="334" applyFont="1" applyBorder="1" applyAlignment="1" applyProtection="1">
      <alignment horizontal="center" vertical="center"/>
      <protection hidden="1"/>
    </xf>
    <xf numFmtId="4" fontId="30" fillId="0" borderId="11" xfId="334" applyNumberFormat="1" applyFont="1" applyFill="1" applyBorder="1" applyAlignment="1" applyProtection="1">
      <alignment horizontal="center" vertical="center"/>
      <protection hidden="1"/>
    </xf>
    <xf numFmtId="166" fontId="30" fillId="0" borderId="12" xfId="334" applyNumberFormat="1" applyFont="1" applyBorder="1" applyAlignment="1" applyProtection="1">
      <alignment horizontal="center" vertical="center"/>
      <protection hidden="1"/>
    </xf>
    <xf numFmtId="0" fontId="30" fillId="0" borderId="12" xfId="334" applyFont="1" applyBorder="1" applyAlignment="1" applyProtection="1">
      <alignment horizontal="center" vertical="center"/>
      <protection hidden="1"/>
    </xf>
    <xf numFmtId="4" fontId="30" fillId="0" borderId="12" xfId="334" applyNumberFormat="1" applyFont="1" applyFill="1" applyBorder="1" applyAlignment="1" applyProtection="1">
      <alignment horizontal="center" vertical="center"/>
      <protection hidden="1"/>
    </xf>
    <xf numFmtId="166" fontId="30" fillId="0" borderId="13" xfId="334" applyNumberFormat="1" applyFont="1" applyBorder="1" applyAlignment="1" applyProtection="1">
      <alignment horizontal="center" vertical="center"/>
      <protection hidden="1"/>
    </xf>
    <xf numFmtId="0" fontId="30" fillId="0" borderId="13" xfId="334" applyFont="1" applyBorder="1" applyAlignment="1" applyProtection="1">
      <alignment horizontal="center" vertical="center"/>
      <protection hidden="1"/>
    </xf>
    <xf numFmtId="4" fontId="30" fillId="0" borderId="13" xfId="334" applyNumberFormat="1" applyFont="1" applyFill="1" applyBorder="1" applyAlignment="1" applyProtection="1">
      <alignment horizontal="center" vertical="center"/>
      <protection hidden="1"/>
    </xf>
    <xf numFmtId="0" fontId="30" fillId="0" borderId="10" xfId="330" applyFont="1" applyBorder="1" applyAlignment="1" applyProtection="1">
      <alignment horizontal="center" vertical="center" wrapText="1"/>
      <protection hidden="1"/>
    </xf>
    <xf numFmtId="0" fontId="30" fillId="0" borderId="10" xfId="334" applyFont="1" applyBorder="1" applyAlignment="1" applyProtection="1">
      <alignment horizontal="center" vertical="center" wrapText="1"/>
      <protection hidden="1"/>
    </xf>
    <xf numFmtId="0" fontId="29" fillId="0" borderId="10" xfId="330" applyFont="1" applyBorder="1" applyAlignment="1" applyProtection="1">
      <alignment horizontal="center" vertical="center" wrapText="1"/>
      <protection hidden="1"/>
    </xf>
    <xf numFmtId="2" fontId="30" fillId="0" borderId="13" xfId="334" applyNumberFormat="1" applyFont="1" applyBorder="1" applyAlignment="1" applyProtection="1">
      <alignment horizontal="center" vertical="center"/>
      <protection hidden="1"/>
    </xf>
    <xf numFmtId="0" fontId="30" fillId="0" borderId="13" xfId="334" applyFont="1" applyBorder="1" applyAlignment="1" applyProtection="1">
      <alignment horizontal="center" vertical="center" wrapText="1"/>
      <protection hidden="1"/>
    </xf>
    <xf numFmtId="2" fontId="30" fillId="0" borderId="12" xfId="334" applyNumberFormat="1" applyFont="1" applyBorder="1" applyAlignment="1" applyProtection="1">
      <alignment horizontal="center" vertical="center"/>
      <protection hidden="1"/>
    </xf>
    <xf numFmtId="0" fontId="30" fillId="0" borderId="12" xfId="334" applyFont="1" applyBorder="1" applyAlignment="1" applyProtection="1">
      <alignment horizontal="center" vertical="center" wrapText="1"/>
      <protection hidden="1"/>
    </xf>
    <xf numFmtId="0" fontId="30" fillId="0" borderId="10" xfId="334" applyFont="1" applyBorder="1" applyAlignment="1" applyProtection="1">
      <alignment horizontal="center" vertical="center"/>
      <protection hidden="1"/>
    </xf>
    <xf numFmtId="0" fontId="29" fillId="0" borderId="18" xfId="330" applyFont="1" applyBorder="1" applyAlignment="1" applyProtection="1">
      <alignment horizontal="center" vertical="center" wrapText="1"/>
      <protection hidden="1"/>
    </xf>
    <xf numFmtId="0" fontId="30" fillId="0" borderId="10" xfId="334" applyFont="1" applyFill="1" applyBorder="1" applyAlignment="1" applyProtection="1">
      <alignment horizontal="center" vertical="center" wrapText="1"/>
      <protection hidden="1"/>
    </xf>
    <xf numFmtId="4" fontId="30" fillId="0" borderId="10" xfId="334" applyNumberFormat="1" applyFont="1" applyFill="1" applyBorder="1" applyAlignment="1" applyProtection="1">
      <alignment horizontal="center" vertical="center"/>
      <protection hidden="1"/>
    </xf>
    <xf numFmtId="0" fontId="30" fillId="0" borderId="10" xfId="334" applyFont="1" applyFill="1" applyBorder="1" applyAlignment="1" applyProtection="1">
      <alignment vertical="center" wrapText="1"/>
      <protection hidden="1"/>
    </xf>
    <xf numFmtId="0" fontId="30" fillId="0" borderId="10" xfId="357" applyFont="1" applyFill="1" applyBorder="1" applyAlignment="1">
      <alignment horizontal="center" vertical="center"/>
    </xf>
    <xf numFmtId="0" fontId="34" fillId="0" borderId="10" xfId="334" applyFont="1" applyBorder="1" applyAlignment="1" applyProtection="1">
      <alignment horizontal="center" vertical="center"/>
      <protection hidden="1"/>
    </xf>
    <xf numFmtId="0" fontId="30" fillId="0" borderId="15" xfId="330" applyFont="1" applyBorder="1" applyAlignment="1" applyProtection="1">
      <alignment horizontal="center" vertical="center" wrapText="1"/>
      <protection hidden="1"/>
    </xf>
    <xf numFmtId="0" fontId="30" fillId="0" borderId="10" xfId="334" applyFont="1" applyBorder="1" applyAlignment="1">
      <alignment horizontal="center" vertical="center"/>
    </xf>
    <xf numFmtId="0" fontId="30" fillId="0" borderId="31" xfId="357" applyFont="1" applyFill="1" applyBorder="1" applyAlignment="1">
      <alignment horizontal="center" vertical="center" wrapText="1"/>
    </xf>
    <xf numFmtId="0" fontId="34" fillId="0" borderId="10" xfId="334" applyFont="1" applyBorder="1" applyAlignment="1">
      <alignment horizontal="center" vertical="center"/>
    </xf>
    <xf numFmtId="0" fontId="34" fillId="0" borderId="0" xfId="330" applyFont="1" applyBorder="1" applyAlignment="1" applyProtection="1">
      <alignment vertical="center" wrapText="1"/>
      <protection hidden="1"/>
    </xf>
    <xf numFmtId="0" fontId="34" fillId="0" borderId="0" xfId="334" applyFont="1" applyBorder="1" applyAlignment="1" applyProtection="1">
      <alignment vertical="center"/>
      <protection hidden="1"/>
    </xf>
    <xf numFmtId="0" fontId="55" fillId="0" borderId="0" xfId="0" applyFont="1" applyAlignment="1">
      <alignment vertical="center"/>
    </xf>
    <xf numFmtId="0" fontId="30" fillId="0" borderId="35" xfId="330" applyFont="1" applyBorder="1" applyAlignment="1" applyProtection="1">
      <alignment horizontal="center" vertical="center" wrapText="1"/>
      <protection hidden="1"/>
    </xf>
    <xf numFmtId="0" fontId="30" fillId="0" borderId="33" xfId="330" applyFont="1" applyBorder="1" applyAlignment="1" applyProtection="1">
      <alignment horizontal="center" vertical="center" wrapText="1"/>
      <protection hidden="1"/>
    </xf>
    <xf numFmtId="0" fontId="30" fillId="0" borderId="24" xfId="334" applyFont="1" applyBorder="1" applyAlignment="1" applyProtection="1">
      <alignment vertical="center" wrapText="1"/>
      <protection hidden="1"/>
    </xf>
    <xf numFmtId="0" fontId="30" fillId="0" borderId="16" xfId="334" applyFont="1" applyBorder="1" applyAlignment="1" applyProtection="1">
      <alignment vertical="center" wrapText="1"/>
      <protection hidden="1"/>
    </xf>
    <xf numFmtId="0" fontId="30" fillId="0" borderId="38" xfId="334" applyFont="1" applyBorder="1" applyAlignment="1" applyProtection="1">
      <alignment vertical="center" wrapText="1"/>
      <protection hidden="1"/>
    </xf>
    <xf numFmtId="0" fontId="30" fillId="0" borderId="17" xfId="330" applyFont="1" applyBorder="1" applyAlignment="1" applyProtection="1">
      <alignment horizontal="center" vertical="center" wrapText="1"/>
      <protection hidden="1"/>
    </xf>
    <xf numFmtId="0" fontId="30" fillId="0" borderId="17" xfId="357" applyFont="1" applyFill="1" applyBorder="1" applyAlignment="1">
      <alignment horizontal="center" vertical="center"/>
    </xf>
    <xf numFmtId="0" fontId="30" fillId="0" borderId="20" xfId="334" applyFont="1" applyBorder="1" applyAlignment="1" applyProtection="1">
      <alignment horizontal="center" vertical="center"/>
      <protection hidden="1"/>
    </xf>
    <xf numFmtId="0" fontId="30" fillId="0" borderId="28" xfId="330" applyFont="1" applyBorder="1" applyAlignment="1" applyProtection="1">
      <alignment horizontal="center" vertical="center" wrapText="1"/>
      <protection hidden="1"/>
    </xf>
    <xf numFmtId="0" fontId="71" fillId="51" borderId="0" xfId="334" applyFont="1" applyFill="1"/>
    <xf numFmtId="0" fontId="29" fillId="50" borderId="10" xfId="0" applyFont="1" applyFill="1" applyBorder="1" applyAlignment="1">
      <alignment horizontal="center" vertical="center"/>
    </xf>
    <xf numFmtId="0" fontId="34" fillId="0" borderId="11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4" fillId="0" borderId="12" xfId="0" applyNumberFormat="1" applyFont="1" applyBorder="1" applyAlignment="1">
      <alignment horizontal="center" vertical="center"/>
    </xf>
    <xf numFmtId="0" fontId="34" fillId="0" borderId="13" xfId="0" applyNumberFormat="1" applyFont="1" applyBorder="1" applyAlignment="1">
      <alignment horizontal="center" vertical="center"/>
    </xf>
    <xf numFmtId="0" fontId="30" fillId="0" borderId="10" xfId="0" applyNumberFormat="1" applyFont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68" fillId="0" borderId="0" xfId="0" applyFont="1" applyAlignment="1">
      <alignment horizontal="center"/>
    </xf>
    <xf numFmtId="0" fontId="30" fillId="0" borderId="0" xfId="0" applyFont="1" applyBorder="1" applyAlignment="1" applyProtection="1">
      <alignment vertical="center"/>
      <protection hidden="1"/>
    </xf>
    <xf numFmtId="0" fontId="36" fillId="0" borderId="0" xfId="0" applyFont="1" applyBorder="1" applyAlignment="1"/>
    <xf numFmtId="0" fontId="30" fillId="0" borderId="0" xfId="0" applyFont="1" applyAlignment="1">
      <alignment horizontal="right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wrapText="1"/>
    </xf>
    <xf numFmtId="0" fontId="34" fillId="0" borderId="10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68" fillId="0" borderId="0" xfId="0" applyFont="1" applyFill="1"/>
    <xf numFmtId="3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  <xf numFmtId="0" fontId="68" fillId="0" borderId="0" xfId="0" applyFont="1" applyBorder="1"/>
    <xf numFmtId="0" fontId="29" fillId="0" borderId="21" xfId="0" applyFont="1" applyFill="1" applyBorder="1" applyAlignment="1">
      <alignment vertical="center"/>
    </xf>
    <xf numFmtId="0" fontId="29" fillId="0" borderId="23" xfId="0" applyFont="1" applyFill="1" applyBorder="1" applyAlignment="1">
      <alignment vertical="center"/>
    </xf>
    <xf numFmtId="0" fontId="29" fillId="0" borderId="25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92" fillId="0" borderId="0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left" vertical="center" wrapText="1"/>
    </xf>
    <xf numFmtId="0" fontId="92" fillId="0" borderId="0" xfId="0" applyFont="1" applyFill="1" applyBorder="1" applyAlignment="1">
      <alignment vertical="center" wrapText="1"/>
    </xf>
    <xf numFmtId="0" fontId="68" fillId="0" borderId="0" xfId="0" applyFont="1" applyFill="1" applyBorder="1" applyAlignment="1">
      <alignment vertical="center" wrapText="1"/>
    </xf>
    <xf numFmtId="0" fontId="68" fillId="0" borderId="0" xfId="0" applyFont="1" applyBorder="1" applyAlignment="1" applyProtection="1">
      <alignment vertical="center"/>
      <protection hidden="1"/>
    </xf>
    <xf numFmtId="0" fontId="29" fillId="47" borderId="28" xfId="0" applyFont="1" applyFill="1" applyBorder="1" applyAlignment="1">
      <alignment horizontal="center" vertical="center"/>
    </xf>
    <xf numFmtId="0" fontId="29" fillId="50" borderId="28" xfId="0" applyFont="1" applyFill="1" applyBorder="1" applyAlignment="1">
      <alignment horizontal="center" vertical="center"/>
    </xf>
    <xf numFmtId="0" fontId="29" fillId="50" borderId="31" xfId="0" applyFont="1" applyFill="1" applyBorder="1" applyAlignment="1">
      <alignment horizontal="center" vertical="center"/>
    </xf>
    <xf numFmtId="0" fontId="34" fillId="0" borderId="36" xfId="0" applyFont="1" applyFill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0" fillId="0" borderId="0" xfId="0" applyAlignment="1">
      <alignment vertical="center"/>
    </xf>
    <xf numFmtId="0" fontId="68" fillId="0" borderId="0" xfId="0" applyFont="1" applyAlignment="1">
      <alignment horizontal="right"/>
    </xf>
    <xf numFmtId="0" fontId="29" fillId="47" borderId="17" xfId="0" applyFont="1" applyFill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 applyAlignment="1">
      <alignment vertical="center"/>
    </xf>
    <xf numFmtId="166" fontId="30" fillId="0" borderId="11" xfId="0" applyNumberFormat="1" applyFont="1" applyBorder="1" applyAlignment="1">
      <alignment horizontal="center" vertical="center" wrapText="1"/>
    </xf>
    <xf numFmtId="1" fontId="30" fillId="0" borderId="13" xfId="0" applyNumberFormat="1" applyFont="1" applyBorder="1" applyAlignment="1">
      <alignment horizontal="center" vertical="center" wrapText="1"/>
    </xf>
    <xf numFmtId="166" fontId="30" fillId="0" borderId="11" xfId="0" applyNumberFormat="1" applyFont="1" applyFill="1" applyBorder="1" applyAlignment="1">
      <alignment horizontal="center" vertical="center" wrapText="1"/>
    </xf>
    <xf numFmtId="0" fontId="29" fillId="47" borderId="1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0" fontId="30" fillId="0" borderId="0" xfId="305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14" fontId="68" fillId="0" borderId="0" xfId="0" applyNumberFormat="1" applyFont="1" applyFill="1" applyBorder="1" applyAlignment="1"/>
    <xf numFmtId="0" fontId="33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305" applyFont="1" applyFill="1" applyBorder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 wrapText="1"/>
    </xf>
    <xf numFmtId="1" fontId="3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68" fillId="0" borderId="0" xfId="0" applyFont="1" applyFill="1" applyBorder="1"/>
    <xf numFmtId="0" fontId="92" fillId="0" borderId="0" xfId="0" applyFont="1" applyFill="1" applyBorder="1" applyAlignment="1">
      <alignment horizontal="center" vertical="center"/>
    </xf>
    <xf numFmtId="2" fontId="34" fillId="0" borderId="0" xfId="0" applyNumberFormat="1" applyFont="1" applyFill="1" applyBorder="1" applyAlignment="1">
      <alignment horizontal="center" vertical="center" wrapText="1"/>
    </xf>
    <xf numFmtId="1" fontId="34" fillId="0" borderId="0" xfId="0" applyNumberFormat="1" applyFont="1" applyFill="1" applyBorder="1" applyAlignment="1">
      <alignment horizontal="center" vertical="center" wrapText="1"/>
    </xf>
    <xf numFmtId="0" fontId="33" fillId="56" borderId="1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 wrapText="1"/>
    </xf>
    <xf numFmtId="0" fontId="49" fillId="0" borderId="0" xfId="0" applyFont="1" applyFill="1" applyBorder="1"/>
    <xf numFmtId="0" fontId="0" fillId="0" borderId="0" xfId="0" applyFill="1" applyBorder="1"/>
    <xf numFmtId="0" fontId="34" fillId="0" borderId="34" xfId="0" applyFont="1" applyBorder="1" applyAlignment="1">
      <alignment horizontal="center" vertical="center"/>
    </xf>
    <xf numFmtId="0" fontId="28" fillId="0" borderId="0" xfId="356" applyFont="1" applyFill="1" applyBorder="1" applyAlignment="1" applyProtection="1">
      <protection hidden="1"/>
    </xf>
    <xf numFmtId="0" fontId="68" fillId="49" borderId="0" xfId="0" applyFont="1" applyFill="1" applyAlignment="1">
      <alignment vertical="center"/>
    </xf>
    <xf numFmtId="0" fontId="68" fillId="49" borderId="0" xfId="0" applyFont="1" applyFill="1"/>
    <xf numFmtId="0" fontId="68" fillId="0" borderId="0" xfId="0" applyFont="1" applyFill="1" applyBorder="1" applyAlignment="1">
      <alignment vertical="center"/>
    </xf>
    <xf numFmtId="166" fontId="30" fillId="0" borderId="35" xfId="0" applyNumberFormat="1" applyFont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1" fontId="34" fillId="0" borderId="13" xfId="0" applyNumberFormat="1" applyFont="1" applyBorder="1" applyAlignment="1" applyProtection="1">
      <alignment horizontal="center" vertical="center" wrapText="1"/>
      <protection hidden="1"/>
    </xf>
    <xf numFmtId="3" fontId="30" fillId="0" borderId="0" xfId="0" applyNumberFormat="1" applyFont="1" applyFill="1" applyBorder="1" applyAlignment="1">
      <alignment vertical="center" wrapText="1"/>
    </xf>
    <xf numFmtId="0" fontId="29" fillId="47" borderId="28" xfId="305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0" fillId="0" borderId="19" xfId="0" applyBorder="1" applyAlignment="1">
      <alignment vertical="center"/>
    </xf>
    <xf numFmtId="0" fontId="29" fillId="0" borderId="21" xfId="305" applyFont="1" applyFill="1" applyBorder="1" applyAlignment="1">
      <alignment vertical="center"/>
    </xf>
    <xf numFmtId="0" fontId="29" fillId="0" borderId="25" xfId="305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66" fontId="30" fillId="0" borderId="33" xfId="0" applyNumberFormat="1" applyFont="1" applyBorder="1" applyAlignment="1">
      <alignment horizontal="center" vertical="center" wrapText="1"/>
    </xf>
    <xf numFmtId="166" fontId="68" fillId="0" borderId="33" xfId="0" applyNumberFormat="1" applyFont="1" applyBorder="1" applyAlignment="1">
      <alignment horizontal="center"/>
    </xf>
    <xf numFmtId="0" fontId="68" fillId="51" borderId="0" xfId="0" applyFont="1" applyFill="1"/>
    <xf numFmtId="1" fontId="68" fillId="51" borderId="0" xfId="0" applyNumberFormat="1" applyFont="1" applyFill="1"/>
    <xf numFmtId="3" fontId="30" fillId="0" borderId="0" xfId="0" applyNumberFormat="1" applyFont="1" applyFill="1" applyBorder="1" applyAlignment="1"/>
    <xf numFmtId="0" fontId="11" fillId="0" borderId="0" xfId="0" applyFont="1" applyFill="1"/>
    <xf numFmtId="0" fontId="0" fillId="0" borderId="0" xfId="0" applyFill="1" applyAlignment="1">
      <alignment vertical="center"/>
    </xf>
    <xf numFmtId="0" fontId="68" fillId="49" borderId="0" xfId="0" applyFont="1" applyFill="1" applyBorder="1" applyAlignment="1">
      <alignment vertical="center"/>
    </xf>
    <xf numFmtId="1" fontId="84" fillId="53" borderId="0" xfId="0" applyNumberFormat="1" applyFont="1" applyFill="1" applyAlignment="1">
      <alignment horizontal="center"/>
    </xf>
    <xf numFmtId="14" fontId="30" fillId="0" borderId="16" xfId="0" applyNumberFormat="1" applyFont="1" applyBorder="1" applyAlignment="1" applyProtection="1">
      <alignment horizontal="right"/>
      <protection hidden="1"/>
    </xf>
    <xf numFmtId="166" fontId="30" fillId="0" borderId="11" xfId="0" applyNumberFormat="1" applyFont="1" applyFill="1" applyBorder="1" applyAlignment="1" applyProtection="1">
      <alignment horizontal="left" vertical="center" indent="2"/>
      <protection hidden="1"/>
    </xf>
    <xf numFmtId="166" fontId="30" fillId="0" borderId="14" xfId="0" applyNumberFormat="1" applyFont="1" applyFill="1" applyBorder="1" applyAlignment="1" applyProtection="1">
      <alignment horizontal="left" vertical="center" indent="2"/>
      <protection hidden="1"/>
    </xf>
    <xf numFmtId="2" fontId="30" fillId="0" borderId="20" xfId="0" applyNumberFormat="1" applyFont="1" applyFill="1" applyBorder="1" applyAlignment="1" applyProtection="1">
      <alignment horizontal="center" vertical="center"/>
      <protection hidden="1"/>
    </xf>
    <xf numFmtId="0" fontId="29" fillId="47" borderId="10" xfId="0" applyFont="1" applyFill="1" applyBorder="1" applyAlignment="1" applyProtection="1">
      <alignment horizontal="center" vertical="center" wrapText="1"/>
      <protection hidden="1"/>
    </xf>
    <xf numFmtId="3" fontId="55" fillId="0" borderId="20" xfId="0" applyNumberFormat="1" applyFont="1" applyFill="1" applyBorder="1" applyAlignment="1" applyProtection="1">
      <alignment horizontal="center" vertical="center"/>
      <protection hidden="1"/>
    </xf>
    <xf numFmtId="3" fontId="55" fillId="0" borderId="20" xfId="0" applyNumberFormat="1" applyFont="1" applyFill="1" applyBorder="1" applyAlignment="1" applyProtection="1">
      <alignment horizontal="center" vertical="center"/>
      <protection hidden="1"/>
    </xf>
    <xf numFmtId="0" fontId="29" fillId="47" borderId="10" xfId="0" applyFont="1" applyFill="1" applyBorder="1" applyAlignment="1" applyProtection="1">
      <alignment horizontal="center" vertical="center" wrapText="1"/>
      <protection hidden="1"/>
    </xf>
    <xf numFmtId="2" fontId="30" fillId="0" borderId="20" xfId="0" applyNumberFormat="1" applyFont="1" applyFill="1" applyBorder="1" applyAlignment="1" applyProtection="1">
      <alignment horizontal="center" vertical="center"/>
      <protection hidden="1"/>
    </xf>
    <xf numFmtId="1" fontId="34" fillId="49" borderId="13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/>
    <xf numFmtId="0" fontId="29" fillId="0" borderId="0" xfId="0" applyFont="1" applyAlignment="1"/>
    <xf numFmtId="0" fontId="29" fillId="0" borderId="0" xfId="0" applyFont="1" applyBorder="1" applyAlignment="1" applyProtection="1">
      <alignment vertical="top" wrapText="1"/>
      <protection hidden="1"/>
    </xf>
    <xf numFmtId="0" fontId="30" fillId="0" borderId="0" xfId="0" applyFont="1" applyBorder="1" applyAlignment="1" applyProtection="1">
      <alignment vertical="top"/>
      <protection hidden="1"/>
    </xf>
    <xf numFmtId="0" fontId="29" fillId="0" borderId="17" xfId="0" applyFont="1" applyBorder="1" applyAlignment="1" applyProtection="1">
      <alignment horizontal="center" vertical="center" wrapText="1"/>
      <protection hidden="1"/>
    </xf>
    <xf numFmtId="0" fontId="3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84" fillId="0" borderId="28" xfId="0" applyFont="1" applyBorder="1" applyAlignment="1" applyProtection="1">
      <alignment horizontal="center" vertical="center" wrapText="1"/>
      <protection hidden="1"/>
    </xf>
    <xf numFmtId="3" fontId="59" fillId="0" borderId="15" xfId="0" applyNumberFormat="1" applyFont="1" applyFill="1" applyBorder="1" applyAlignment="1" applyProtection="1">
      <alignment horizontal="center" vertical="center"/>
      <protection hidden="1"/>
    </xf>
    <xf numFmtId="0" fontId="30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52" fillId="48" borderId="18" xfId="357" applyFont="1" applyFill="1" applyBorder="1" applyAlignment="1">
      <alignment horizontal="center" vertical="center" wrapText="1"/>
    </xf>
    <xf numFmtId="0" fontId="29" fillId="46" borderId="0" xfId="0" applyFont="1" applyFill="1" applyBorder="1" applyAlignment="1" applyProtection="1">
      <alignment vertical="center" wrapText="1"/>
      <protection hidden="1"/>
    </xf>
    <xf numFmtId="0" fontId="30" fillId="0" borderId="0" xfId="0" applyFont="1" applyBorder="1" applyAlignment="1" applyProtection="1">
      <alignment vertical="center" wrapText="1"/>
      <protection hidden="1"/>
    </xf>
    <xf numFmtId="2" fontId="30" fillId="0" borderId="0" xfId="0" applyNumberFormat="1" applyFont="1" applyFill="1" applyBorder="1" applyAlignment="1" applyProtection="1">
      <alignment vertical="center"/>
      <protection hidden="1"/>
    </xf>
    <xf numFmtId="0" fontId="30" fillId="0" borderId="0" xfId="0" applyNumberFormat="1" applyFont="1" applyBorder="1" applyAlignment="1" applyProtection="1">
      <alignment vertical="center" wrapText="1"/>
      <protection hidden="1"/>
    </xf>
    <xf numFmtId="3" fontId="55" fillId="0" borderId="0" xfId="0" applyNumberFormat="1" applyFont="1" applyFill="1" applyBorder="1" applyAlignment="1" applyProtection="1">
      <alignment vertical="center"/>
      <protection hidden="1"/>
    </xf>
    <xf numFmtId="1" fontId="30" fillId="57" borderId="12" xfId="0" applyNumberFormat="1" applyFont="1" applyFill="1" applyBorder="1" applyAlignment="1" applyProtection="1">
      <alignment horizontal="center" vertical="center" wrapText="1"/>
      <protection hidden="1"/>
    </xf>
    <xf numFmtId="0" fontId="95" fillId="0" borderId="12" xfId="0" applyFont="1" applyBorder="1" applyAlignment="1" applyProtection="1">
      <alignment horizontal="center" vertical="center"/>
      <protection hidden="1"/>
    </xf>
    <xf numFmtId="0" fontId="96" fillId="0" borderId="14" xfId="0" applyFont="1" applyBorder="1" applyAlignment="1" applyProtection="1">
      <alignment horizontal="center" vertical="center"/>
      <protection hidden="1"/>
    </xf>
    <xf numFmtId="0" fontId="96" fillId="0" borderId="12" xfId="0" applyFont="1" applyBorder="1" applyAlignment="1" applyProtection="1">
      <alignment horizontal="center" vertical="center"/>
      <protection hidden="1"/>
    </xf>
    <xf numFmtId="2" fontId="95" fillId="0" borderId="12" xfId="0" applyNumberFormat="1" applyFont="1" applyBorder="1" applyAlignment="1" applyProtection="1">
      <alignment horizontal="center" vertical="center"/>
      <protection hidden="1"/>
    </xf>
    <xf numFmtId="1" fontId="95" fillId="0" borderId="12" xfId="0" applyNumberFormat="1" applyFont="1" applyBorder="1" applyAlignment="1" applyProtection="1">
      <alignment horizontal="center" vertical="center"/>
      <protection hidden="1"/>
    </xf>
    <xf numFmtId="1" fontId="95" fillId="0" borderId="12" xfId="0" applyNumberFormat="1" applyFont="1" applyFill="1" applyBorder="1" applyAlignment="1" applyProtection="1">
      <alignment horizontal="center" vertical="center"/>
      <protection hidden="1"/>
    </xf>
    <xf numFmtId="1" fontId="96" fillId="0" borderId="12" xfId="0" applyNumberFormat="1" applyFont="1" applyFill="1" applyBorder="1" applyAlignment="1" applyProtection="1">
      <alignment horizontal="center" vertical="center"/>
      <protection hidden="1"/>
    </xf>
    <xf numFmtId="0" fontId="95" fillId="0" borderId="14" xfId="0" applyFont="1" applyBorder="1" applyAlignment="1" applyProtection="1">
      <alignment horizontal="center" vertical="center"/>
      <protection hidden="1"/>
    </xf>
    <xf numFmtId="2" fontId="95" fillId="0" borderId="14" xfId="0" applyNumberFormat="1" applyFont="1" applyBorder="1" applyAlignment="1" applyProtection="1">
      <alignment horizontal="center" vertical="center"/>
      <protection hidden="1"/>
    </xf>
    <xf numFmtId="1" fontId="95" fillId="0" borderId="14" xfId="0" applyNumberFormat="1" applyFont="1" applyBorder="1" applyAlignment="1" applyProtection="1">
      <alignment horizontal="center" vertical="center"/>
      <protection hidden="1"/>
    </xf>
    <xf numFmtId="1" fontId="96" fillId="0" borderId="14" xfId="0" applyNumberFormat="1" applyFont="1" applyBorder="1" applyAlignment="1" applyProtection="1">
      <alignment horizontal="center" vertical="center"/>
      <protection hidden="1"/>
    </xf>
    <xf numFmtId="1" fontId="96" fillId="0" borderId="12" xfId="0" applyNumberFormat="1" applyFont="1" applyBorder="1" applyAlignment="1" applyProtection="1">
      <alignment horizontal="center" vertical="center"/>
      <protection hidden="1"/>
    </xf>
    <xf numFmtId="1" fontId="95" fillId="0" borderId="30" xfId="0" applyNumberFormat="1" applyFont="1" applyBorder="1" applyAlignment="1" applyProtection="1">
      <alignment horizontal="center" vertical="center"/>
      <protection hidden="1"/>
    </xf>
    <xf numFmtId="1" fontId="96" fillId="0" borderId="30" xfId="0" applyNumberFormat="1" applyFont="1" applyBorder="1" applyAlignment="1" applyProtection="1">
      <alignment horizontal="center" vertical="center"/>
      <protection hidden="1"/>
    </xf>
    <xf numFmtId="2" fontId="95" fillId="0" borderId="30" xfId="0" applyNumberFormat="1" applyFont="1" applyBorder="1" applyAlignment="1" applyProtection="1">
      <alignment horizontal="center" vertical="center"/>
      <protection hidden="1"/>
    </xf>
    <xf numFmtId="3" fontId="95" fillId="0" borderId="11" xfId="0" applyNumberFormat="1" applyFont="1" applyFill="1" applyBorder="1" applyAlignment="1" applyProtection="1">
      <alignment horizontal="center" vertical="center" wrapText="1"/>
      <protection hidden="1"/>
    </xf>
    <xf numFmtId="3" fontId="95" fillId="53" borderId="11" xfId="0" applyNumberFormat="1" applyFont="1" applyFill="1" applyBorder="1" applyAlignment="1" applyProtection="1">
      <alignment horizontal="center" vertical="center" wrapText="1"/>
      <protection hidden="1"/>
    </xf>
    <xf numFmtId="3" fontId="95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95" fillId="53" borderId="12" xfId="0" applyNumberFormat="1" applyFont="1" applyFill="1" applyBorder="1" applyAlignment="1" applyProtection="1">
      <alignment horizontal="center" vertical="center" wrapText="1"/>
      <protection hidden="1"/>
    </xf>
    <xf numFmtId="3" fontId="95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95" fillId="53" borderId="13" xfId="0" applyNumberFormat="1" applyFont="1" applyFill="1" applyBorder="1" applyAlignment="1" applyProtection="1">
      <alignment horizontal="center" vertical="center" wrapText="1"/>
      <protection hidden="1"/>
    </xf>
    <xf numFmtId="0" fontId="33" fillId="47" borderId="17" xfId="355" applyFont="1" applyFill="1" applyBorder="1" applyAlignment="1">
      <alignment horizontal="center" wrapText="1"/>
    </xf>
    <xf numFmtId="0" fontId="30" fillId="0" borderId="10" xfId="355" applyFont="1" applyFill="1" applyBorder="1" applyAlignment="1">
      <alignment wrapText="1"/>
    </xf>
    <xf numFmtId="2" fontId="29" fillId="0" borderId="10" xfId="184" applyNumberFormat="1" applyFont="1" applyFill="1" applyBorder="1" applyAlignment="1">
      <alignment horizontal="center" vertical="center" wrapText="1"/>
    </xf>
    <xf numFmtId="0" fontId="29" fillId="0" borderId="10" xfId="355" applyFont="1" applyFill="1" applyBorder="1" applyAlignment="1">
      <alignment horizontal="center" vertical="center" wrapText="1"/>
    </xf>
    <xf numFmtId="2" fontId="29" fillId="0" borderId="26" xfId="184" applyNumberFormat="1" applyFont="1" applyFill="1" applyBorder="1" applyAlignment="1">
      <alignment horizontal="center" vertical="center" wrapText="1"/>
    </xf>
    <xf numFmtId="0" fontId="29" fillId="0" borderId="26" xfId="355" applyFont="1" applyFill="1" applyBorder="1" applyAlignment="1">
      <alignment horizontal="center" vertical="center" wrapText="1"/>
    </xf>
    <xf numFmtId="0" fontId="30" fillId="0" borderId="27" xfId="355" applyFont="1" applyFill="1" applyBorder="1" applyAlignment="1">
      <alignment wrapText="1"/>
    </xf>
    <xf numFmtId="2" fontId="29" fillId="0" borderId="27" xfId="184" applyNumberFormat="1" applyFont="1" applyFill="1" applyBorder="1" applyAlignment="1">
      <alignment horizontal="center" vertical="center" wrapText="1"/>
    </xf>
    <xf numFmtId="0" fontId="34" fillId="0" borderId="15" xfId="355" applyFont="1" applyBorder="1" applyAlignment="1">
      <alignment horizontal="left" vertical="center" wrapText="1"/>
    </xf>
    <xf numFmtId="0" fontId="30" fillId="0" borderId="15" xfId="355" applyFont="1" applyFill="1" applyBorder="1" applyAlignment="1">
      <alignment vertical="center" wrapText="1"/>
    </xf>
    <xf numFmtId="2" fontId="29" fillId="0" borderId="15" xfId="184" applyNumberFormat="1" applyFont="1" applyFill="1" applyBorder="1" applyAlignment="1">
      <alignment horizontal="center" vertical="center" wrapText="1"/>
    </xf>
    <xf numFmtId="2" fontId="29" fillId="0" borderId="17" xfId="184" applyNumberFormat="1" applyFont="1" applyFill="1" applyBorder="1" applyAlignment="1">
      <alignment horizontal="center" vertical="center" wrapText="1"/>
    </xf>
    <xf numFmtId="49" fontId="29" fillId="0" borderId="10" xfId="184" applyNumberFormat="1" applyFont="1" applyFill="1" applyBorder="1" applyAlignment="1">
      <alignment horizontal="center" vertical="center" wrapText="1"/>
    </xf>
    <xf numFmtId="0" fontId="34" fillId="0" borderId="10" xfId="355" applyFont="1" applyBorder="1" applyAlignment="1">
      <alignment horizontal="left" vertical="center" wrapText="1"/>
    </xf>
    <xf numFmtId="0" fontId="30" fillId="0" borderId="10" xfId="355" applyFont="1" applyFill="1" applyBorder="1" applyAlignment="1">
      <alignment vertical="center" wrapText="1"/>
    </xf>
    <xf numFmtId="2" fontId="29" fillId="0" borderId="11" xfId="184" applyNumberFormat="1" applyFont="1" applyFill="1" applyBorder="1" applyAlignment="1">
      <alignment horizontal="center" vertical="center" wrapText="1"/>
    </xf>
    <xf numFmtId="0" fontId="30" fillId="0" borderId="11" xfId="355" applyFont="1" applyFill="1" applyBorder="1" applyAlignment="1">
      <alignment horizontal="center" vertical="center" wrapText="1"/>
    </xf>
    <xf numFmtId="49" fontId="30" fillId="0" borderId="11" xfId="355" applyNumberFormat="1" applyFont="1" applyFill="1" applyBorder="1" applyAlignment="1">
      <alignment horizontal="center" vertical="center" wrapText="1"/>
    </xf>
    <xf numFmtId="0" fontId="30" fillId="0" borderId="10" xfId="355" applyFont="1" applyFill="1" applyBorder="1" applyAlignment="1">
      <alignment horizontal="center" vertical="center" wrapText="1"/>
    </xf>
    <xf numFmtId="0" fontId="34" fillId="0" borderId="0" xfId="355" applyFont="1" applyAlignment="1">
      <alignment vertical="center"/>
    </xf>
    <xf numFmtId="0" fontId="36" fillId="0" borderId="0" xfId="355" applyFont="1" applyBorder="1" applyAlignment="1"/>
    <xf numFmtId="14" fontId="68" fillId="0" borderId="0" xfId="0" applyNumberFormat="1" applyFont="1" applyBorder="1" applyAlignment="1">
      <alignment horizontal="left"/>
    </xf>
    <xf numFmtId="0" fontId="30" fillId="0" borderId="17" xfId="355" applyFont="1" applyFill="1" applyBorder="1" applyAlignment="1">
      <alignment wrapText="1"/>
    </xf>
    <xf numFmtId="4" fontId="30" fillId="0" borderId="25" xfId="355" applyNumberFormat="1" applyFont="1" applyFill="1" applyBorder="1" applyAlignment="1">
      <alignment vertical="center" wrapText="1"/>
    </xf>
    <xf numFmtId="0" fontId="30" fillId="0" borderId="26" xfId="355" applyFont="1" applyFill="1" applyBorder="1" applyAlignment="1">
      <alignment horizontal="center" vertical="center" wrapText="1"/>
    </xf>
    <xf numFmtId="0" fontId="34" fillId="0" borderId="20" xfId="355" applyFont="1" applyBorder="1" applyAlignment="1">
      <alignment horizontal="center" vertical="center" wrapText="1"/>
    </xf>
    <xf numFmtId="0" fontId="30" fillId="0" borderId="20" xfId="355" applyFont="1" applyFill="1" applyBorder="1" applyAlignment="1">
      <alignment horizontal="center" wrapText="1"/>
    </xf>
    <xf numFmtId="2" fontId="29" fillId="0" borderId="20" xfId="184" applyNumberFormat="1" applyFont="1" applyFill="1" applyBorder="1" applyAlignment="1">
      <alignment horizontal="center" vertical="center" wrapText="1"/>
    </xf>
    <xf numFmtId="0" fontId="30" fillId="0" borderId="0" xfId="355" applyFont="1" applyFill="1" applyBorder="1" applyAlignment="1">
      <alignment horizontal="center" vertical="center" wrapText="1"/>
    </xf>
    <xf numFmtId="0" fontId="30" fillId="0" borderId="24" xfId="355" applyFont="1" applyFill="1" applyBorder="1" applyAlignment="1">
      <alignment horizontal="center" vertical="center" wrapText="1"/>
    </xf>
    <xf numFmtId="0" fontId="30" fillId="0" borderId="28" xfId="355" applyFont="1" applyFill="1" applyBorder="1" applyAlignment="1">
      <alignment horizontal="center" vertical="center" wrapText="1"/>
    </xf>
    <xf numFmtId="0" fontId="30" fillId="0" borderId="31" xfId="355" applyFont="1" applyFill="1" applyBorder="1" applyAlignment="1">
      <alignment horizontal="center" vertical="center" wrapText="1"/>
    </xf>
    <xf numFmtId="0" fontId="30" fillId="0" borderId="63" xfId="355" applyFont="1" applyFill="1" applyBorder="1" applyAlignment="1">
      <alignment horizontal="center" vertical="center" wrapText="1"/>
    </xf>
    <xf numFmtId="0" fontId="30" fillId="0" borderId="64" xfId="355" applyFont="1" applyFill="1" applyBorder="1" applyAlignment="1">
      <alignment horizontal="center" vertical="center" wrapText="1"/>
    </xf>
    <xf numFmtId="0" fontId="30" fillId="0" borderId="65" xfId="355" applyFont="1" applyFill="1" applyBorder="1" applyAlignment="1">
      <alignment horizontal="center" vertical="center" wrapText="1"/>
    </xf>
    <xf numFmtId="0" fontId="30" fillId="0" borderId="18" xfId="355" applyFont="1" applyFill="1" applyBorder="1" applyAlignment="1">
      <alignment horizontal="center" vertical="center" wrapText="1"/>
    </xf>
    <xf numFmtId="0" fontId="34" fillId="0" borderId="0" xfId="355" applyFont="1" applyAlignment="1">
      <alignment horizontal="left" wrapText="1"/>
    </xf>
    <xf numFmtId="0" fontId="30" fillId="0" borderId="17" xfId="355" applyFont="1" applyFill="1" applyBorder="1" applyAlignment="1">
      <alignment horizontal="center" vertical="center" wrapText="1"/>
    </xf>
    <xf numFmtId="4" fontId="30" fillId="0" borderId="21" xfId="355" applyNumberFormat="1" applyFont="1" applyFill="1" applyBorder="1" applyAlignment="1">
      <alignment horizontal="center" vertical="center" wrapText="1"/>
    </xf>
    <xf numFmtId="4" fontId="30" fillId="0" borderId="66" xfId="355" applyNumberFormat="1" applyFont="1" applyFill="1" applyBorder="1" applyAlignment="1">
      <alignment horizontal="center" vertical="center" wrapText="1"/>
    </xf>
    <xf numFmtId="4" fontId="30" fillId="0" borderId="59" xfId="355" applyNumberFormat="1" applyFont="1" applyFill="1" applyBorder="1" applyAlignment="1">
      <alignment horizontal="center" vertical="center" wrapText="1"/>
    </xf>
    <xf numFmtId="0" fontId="34" fillId="0" borderId="0" xfId="355" applyFont="1" applyAlignment="1">
      <alignment horizontal="left"/>
    </xf>
    <xf numFmtId="0" fontId="43" fillId="48" borderId="28" xfId="357" applyFont="1" applyFill="1" applyBorder="1" applyAlignment="1">
      <alignment horizontal="center" vertical="center" wrapText="1"/>
    </xf>
    <xf numFmtId="0" fontId="29" fillId="56" borderId="15" xfId="334" applyFont="1" applyFill="1" applyBorder="1" applyAlignment="1" applyProtection="1">
      <alignment horizontal="center" vertical="center" wrapText="1"/>
      <protection hidden="1"/>
    </xf>
    <xf numFmtId="0" fontId="29" fillId="56" borderId="20" xfId="334" applyFont="1" applyFill="1" applyBorder="1" applyAlignment="1" applyProtection="1">
      <alignment horizontal="center" vertical="center" wrapText="1"/>
      <protection hidden="1"/>
    </xf>
    <xf numFmtId="0" fontId="29" fillId="56" borderId="10" xfId="334" applyFont="1" applyFill="1" applyBorder="1" applyAlignment="1" applyProtection="1">
      <alignment horizontal="center" vertical="center" wrapText="1"/>
      <protection hidden="1"/>
    </xf>
    <xf numFmtId="0" fontId="29" fillId="58" borderId="28" xfId="330" applyFont="1" applyFill="1" applyBorder="1" applyAlignment="1" applyProtection="1">
      <alignment horizontal="center" vertical="center" wrapText="1"/>
      <protection hidden="1"/>
    </xf>
    <xf numFmtId="0" fontId="29" fillId="58" borderId="10" xfId="330" applyFont="1" applyFill="1" applyBorder="1" applyAlignment="1" applyProtection="1">
      <alignment horizontal="center" vertical="center" wrapText="1"/>
      <protection hidden="1"/>
    </xf>
    <xf numFmtId="0" fontId="29" fillId="56" borderId="10" xfId="0" applyFont="1" applyFill="1" applyBorder="1" applyAlignment="1" applyProtection="1">
      <alignment horizontal="center" vertical="center" wrapText="1"/>
      <protection hidden="1"/>
    </xf>
    <xf numFmtId="0" fontId="29" fillId="56" borderId="28" xfId="0" applyFont="1" applyFill="1" applyBorder="1" applyAlignment="1" applyProtection="1">
      <alignment vertical="center" wrapText="1"/>
      <protection hidden="1"/>
    </xf>
    <xf numFmtId="0" fontId="29" fillId="56" borderId="10" xfId="0" applyNumberFormat="1" applyFont="1" applyFill="1" applyBorder="1" applyAlignment="1" applyProtection="1">
      <alignment horizontal="center" vertical="center" wrapText="1"/>
      <protection hidden="1"/>
    </xf>
    <xf numFmtId="3" fontId="29" fillId="56" borderId="10" xfId="0" applyNumberFormat="1" applyFont="1" applyFill="1" applyBorder="1" applyAlignment="1" applyProtection="1">
      <alignment horizontal="center" vertical="center" wrapText="1"/>
      <protection hidden="1"/>
    </xf>
    <xf numFmtId="0" fontId="73" fillId="56" borderId="10" xfId="0" applyFont="1" applyFill="1" applyBorder="1" applyAlignment="1" applyProtection="1">
      <alignment horizontal="center" vertical="center" wrapText="1"/>
      <protection hidden="1"/>
    </xf>
    <xf numFmtId="3" fontId="29" fillId="58" borderId="10" xfId="0" applyNumberFormat="1" applyFont="1" applyFill="1" applyBorder="1" applyAlignment="1" applyProtection="1">
      <alignment horizontal="center" vertical="center" wrapText="1"/>
      <protection hidden="1"/>
    </xf>
    <xf numFmtId="0" fontId="62" fillId="51" borderId="23" xfId="0" applyFont="1" applyFill="1" applyBorder="1"/>
    <xf numFmtId="3" fontId="59" fillId="51" borderId="23" xfId="0" applyNumberFormat="1" applyFont="1" applyFill="1" applyBorder="1" applyAlignment="1" applyProtection="1">
      <alignment horizontal="center" vertical="center"/>
      <protection hidden="1"/>
    </xf>
    <xf numFmtId="0" fontId="62" fillId="49" borderId="23" xfId="0" applyFont="1" applyFill="1" applyBorder="1"/>
    <xf numFmtId="0" fontId="30" fillId="0" borderId="66" xfId="355" applyFont="1" applyFill="1" applyBorder="1" applyAlignment="1">
      <alignment wrapText="1"/>
    </xf>
    <xf numFmtId="0" fontId="30" fillId="0" borderId="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4" fontId="30" fillId="0" borderId="33" xfId="355" applyNumberFormat="1" applyFont="1" applyFill="1" applyBorder="1" applyAlignment="1">
      <alignment horizontal="center" vertical="center" wrapText="1"/>
    </xf>
    <xf numFmtId="4" fontId="30" fillId="0" borderId="37" xfId="355" applyNumberFormat="1" applyFont="1" applyFill="1" applyBorder="1" applyAlignment="1">
      <alignment horizontal="center" vertical="center" wrapText="1"/>
    </xf>
    <xf numFmtId="4" fontId="30" fillId="0" borderId="35" xfId="355" applyNumberFormat="1" applyFont="1" applyFill="1" applyBorder="1" applyAlignment="1">
      <alignment horizontal="center" vertical="center" wrapText="1"/>
    </xf>
    <xf numFmtId="4" fontId="30" fillId="0" borderId="11" xfId="355" applyNumberFormat="1" applyFont="1" applyFill="1" applyBorder="1" applyAlignment="1">
      <alignment horizontal="center" vertical="center" wrapText="1"/>
    </xf>
    <xf numFmtId="4" fontId="30" fillId="0" borderId="12" xfId="355" applyNumberFormat="1" applyFont="1" applyFill="1" applyBorder="1" applyAlignment="1">
      <alignment horizontal="center" vertical="center" wrapText="1"/>
    </xf>
    <xf numFmtId="4" fontId="30" fillId="0" borderId="13" xfId="355" applyNumberFormat="1" applyFont="1" applyFill="1" applyBorder="1" applyAlignment="1">
      <alignment horizontal="center" vertical="center" wrapText="1"/>
    </xf>
    <xf numFmtId="4" fontId="30" fillId="0" borderId="78" xfId="355" applyNumberFormat="1" applyFont="1" applyFill="1" applyBorder="1" applyAlignment="1">
      <alignment horizontal="center" vertical="center" wrapText="1"/>
    </xf>
    <xf numFmtId="0" fontId="30" fillId="0" borderId="79" xfId="355" applyNumberFormat="1" applyFont="1" applyFill="1" applyBorder="1" applyAlignment="1">
      <alignment horizontal="center" vertical="center" wrapText="1"/>
    </xf>
    <xf numFmtId="2" fontId="29" fillId="0" borderId="14" xfId="184" applyNumberFormat="1" applyFont="1" applyFill="1" applyBorder="1" applyAlignment="1">
      <alignment horizontal="center" vertical="center" wrapText="1"/>
    </xf>
    <xf numFmtId="4" fontId="30" fillId="0" borderId="79" xfId="355" applyNumberFormat="1" applyFont="1" applyFill="1" applyBorder="1" applyAlignment="1">
      <alignment horizontal="center" vertical="center" wrapText="1"/>
    </xf>
    <xf numFmtId="4" fontId="30" fillId="0" borderId="33" xfId="355" applyNumberFormat="1" applyFont="1" applyFill="1" applyBorder="1" applyAlignment="1">
      <alignment horizontal="center" vertical="center" wrapText="1"/>
    </xf>
    <xf numFmtId="4" fontId="30" fillId="0" borderId="37" xfId="355" applyNumberFormat="1" applyFont="1" applyFill="1" applyBorder="1" applyAlignment="1">
      <alignment horizontal="center" vertical="center" wrapText="1"/>
    </xf>
    <xf numFmtId="4" fontId="30" fillId="0" borderId="66" xfId="355" applyNumberFormat="1" applyFont="1" applyFill="1" applyBorder="1" applyAlignment="1">
      <alignment horizontal="center" vertical="center" wrapText="1"/>
    </xf>
    <xf numFmtId="0" fontId="30" fillId="0" borderId="13" xfId="355" applyNumberFormat="1" applyFont="1" applyFill="1" applyBorder="1" applyAlignment="1">
      <alignment horizontal="center" vertical="center" wrapText="1"/>
    </xf>
    <xf numFmtId="0" fontId="30" fillId="0" borderId="26" xfId="355" applyFont="1" applyFill="1" applyBorder="1" applyAlignment="1">
      <alignment horizontal="center" wrapText="1"/>
    </xf>
    <xf numFmtId="0" fontId="29" fillId="0" borderId="0" xfId="334" applyFont="1" applyBorder="1" applyAlignment="1" applyProtection="1">
      <alignment horizontal="center" vertical="center" wrapText="1"/>
      <protection hidden="1"/>
    </xf>
    <xf numFmtId="0" fontId="29" fillId="0" borderId="0" xfId="0" applyFont="1" applyFill="1" applyBorder="1" applyAlignment="1" applyProtection="1">
      <protection hidden="1"/>
    </xf>
    <xf numFmtId="0" fontId="29" fillId="0" borderId="0" xfId="0" applyFont="1" applyFill="1" applyBorder="1" applyAlignment="1" applyProtection="1">
      <alignment vertical="center" wrapText="1"/>
      <protection hidden="1"/>
    </xf>
    <xf numFmtId="0" fontId="29" fillId="0" borderId="0" xfId="0" applyFont="1" applyFill="1" applyBorder="1" applyAlignment="1" applyProtection="1">
      <alignment vertical="top" wrapText="1"/>
      <protection hidden="1"/>
    </xf>
    <xf numFmtId="0" fontId="36" fillId="0" borderId="16" xfId="355" applyFont="1" applyBorder="1" applyAlignment="1"/>
    <xf numFmtId="3" fontId="34" fillId="0" borderId="17" xfId="355" applyNumberFormat="1" applyFont="1" applyFill="1" applyBorder="1" applyAlignment="1">
      <alignment horizontal="center" vertical="center" wrapText="1"/>
    </xf>
    <xf numFmtId="3" fontId="34" fillId="0" borderId="26" xfId="355" applyNumberFormat="1" applyFont="1" applyFill="1" applyBorder="1" applyAlignment="1">
      <alignment horizontal="center" vertical="center" wrapText="1"/>
    </xf>
    <xf numFmtId="3" fontId="34" fillId="0" borderId="20" xfId="355" applyNumberFormat="1" applyFont="1" applyFill="1" applyBorder="1" applyAlignment="1">
      <alignment horizontal="center" vertical="center" wrapText="1"/>
    </xf>
    <xf numFmtId="3" fontId="34" fillId="0" borderId="20" xfId="355" applyNumberFormat="1" applyFont="1" applyFill="1" applyBorder="1" applyAlignment="1">
      <alignment horizontal="center" vertical="center" wrapText="1"/>
    </xf>
    <xf numFmtId="3" fontId="34" fillId="0" borderId="10" xfId="355" applyNumberFormat="1" applyFont="1" applyFill="1" applyBorder="1" applyAlignment="1">
      <alignment horizontal="center" vertical="center" wrapText="1"/>
    </xf>
    <xf numFmtId="3" fontId="34" fillId="0" borderId="10" xfId="355" applyNumberFormat="1" applyFont="1" applyFill="1" applyBorder="1" applyAlignment="1">
      <alignment horizontal="center" vertical="center"/>
    </xf>
    <xf numFmtId="3" fontId="34" fillId="0" borderId="17" xfId="355" applyNumberFormat="1" applyFont="1" applyFill="1" applyBorder="1" applyAlignment="1">
      <alignment horizontal="center" vertical="center"/>
    </xf>
    <xf numFmtId="0" fontId="85" fillId="51" borderId="0" xfId="355" applyFont="1" applyFill="1"/>
    <xf numFmtId="0" fontId="85" fillId="51" borderId="0" xfId="355" applyFont="1" applyFill="1" applyAlignment="1">
      <alignment vertical="center"/>
    </xf>
    <xf numFmtId="0" fontId="85" fillId="51" borderId="23" xfId="355" applyFont="1" applyFill="1" applyBorder="1" applyAlignment="1"/>
    <xf numFmtId="0" fontId="39" fillId="0" borderId="0" xfId="355" applyFont="1" applyFill="1"/>
    <xf numFmtId="0" fontId="85" fillId="0" borderId="0" xfId="355" applyFont="1" applyFill="1" applyAlignment="1"/>
    <xf numFmtId="0" fontId="39" fillId="0" borderId="0" xfId="355" applyFont="1" applyFill="1" applyAlignment="1">
      <alignment vertical="center"/>
    </xf>
    <xf numFmtId="2" fontId="30" fillId="0" borderId="0" xfId="0" applyNumberFormat="1" applyFont="1"/>
    <xf numFmtId="0" fontId="30" fillId="0" borderId="10" xfId="0" applyFont="1" applyFill="1" applyBorder="1" applyAlignment="1">
      <alignment horizontal="left" vertical="center"/>
    </xf>
    <xf numFmtId="0" fontId="30" fillId="0" borderId="10" xfId="0" applyFont="1" applyFill="1" applyBorder="1" applyAlignment="1">
      <alignment horizontal="center" vertical="center" wrapText="1"/>
    </xf>
    <xf numFmtId="0" fontId="29" fillId="47" borderId="17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29" fillId="47" borderId="1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3" fontId="30" fillId="0" borderId="1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3" fontId="30" fillId="0" borderId="0" xfId="0" applyNumberFormat="1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/>
    </xf>
    <xf numFmtId="3" fontId="30" fillId="0" borderId="0" xfId="0" applyNumberFormat="1" applyFont="1" applyFill="1" applyBorder="1" applyAlignment="1">
      <alignment horizontal="center" vertical="center"/>
    </xf>
    <xf numFmtId="0" fontId="30" fillId="0" borderId="10" xfId="0" applyFont="1" applyBorder="1" applyAlignment="1">
      <alignment vertical="center"/>
    </xf>
    <xf numFmtId="0" fontId="30" fillId="0" borderId="0" xfId="0" applyFont="1" applyFill="1" applyBorder="1"/>
    <xf numFmtId="3" fontId="30" fillId="0" borderId="10" xfId="0" applyNumberFormat="1" applyFont="1" applyFill="1" applyBorder="1" applyAlignment="1">
      <alignment horizontal="center" vertical="center"/>
    </xf>
    <xf numFmtId="0" fontId="30" fillId="51" borderId="0" xfId="0" applyFont="1" applyFill="1"/>
    <xf numFmtId="0" fontId="30" fillId="51" borderId="0" xfId="0" applyFont="1" applyFill="1" applyBorder="1"/>
    <xf numFmtId="0" fontId="46" fillId="51" borderId="0" xfId="0" applyFont="1" applyFill="1"/>
    <xf numFmtId="0" fontId="49" fillId="51" borderId="0" xfId="0" applyFont="1" applyFill="1"/>
    <xf numFmtId="3" fontId="30" fillId="51" borderId="0" xfId="0" applyNumberFormat="1" applyFont="1" applyFill="1" applyAlignment="1">
      <alignment vertical="center"/>
    </xf>
    <xf numFmtId="0" fontId="100" fillId="0" borderId="0" xfId="0" applyFont="1" applyFill="1" applyBorder="1" applyAlignment="1">
      <alignment horizontal="left" vertical="top" wrapText="1"/>
    </xf>
    <xf numFmtId="0" fontId="30" fillId="0" borderId="19" xfId="0" applyFont="1" applyFill="1" applyBorder="1" applyAlignment="1">
      <alignment vertical="center" wrapText="1"/>
    </xf>
    <xf numFmtId="3" fontId="100" fillId="0" borderId="0" xfId="0" applyNumberFormat="1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vertical="top" wrapText="1"/>
    </xf>
    <xf numFmtId="0" fontId="30" fillId="0" borderId="31" xfId="0" applyFont="1" applyFill="1" applyBorder="1" applyAlignment="1">
      <alignment vertical="top" wrapText="1"/>
    </xf>
    <xf numFmtId="0" fontId="30" fillId="0" borderId="0" xfId="0" applyFont="1" applyBorder="1" applyAlignment="1">
      <alignment vertical="center"/>
    </xf>
    <xf numFmtId="0" fontId="36" fillId="0" borderId="16" xfId="0" applyFont="1" applyBorder="1" applyAlignment="1">
      <alignment vertical="center"/>
    </xf>
    <xf numFmtId="0" fontId="30" fillId="0" borderId="10" xfId="0" applyFont="1" applyBorder="1"/>
    <xf numFmtId="0" fontId="84" fillId="0" borderId="0" xfId="0" applyFont="1" applyBorder="1" applyAlignment="1">
      <alignment horizontal="center" vertical="center"/>
    </xf>
    <xf numFmtId="0" fontId="30" fillId="0" borderId="19" xfId="0" applyFont="1" applyBorder="1" applyAlignment="1">
      <alignment vertical="center" wrapText="1"/>
    </xf>
    <xf numFmtId="0" fontId="30" fillId="51" borderId="0" xfId="0" applyFont="1" applyFill="1" applyAlignment="1">
      <alignment vertical="center"/>
    </xf>
    <xf numFmtId="0" fontId="29" fillId="0" borderId="0" xfId="0" applyFont="1" applyFill="1" applyBorder="1" applyAlignment="1" applyProtection="1">
      <alignment horizontal="left" vertical="center"/>
      <protection hidden="1"/>
    </xf>
    <xf numFmtId="3" fontId="30" fillId="0" borderId="0" xfId="0" applyNumberFormat="1" applyFont="1" applyAlignment="1">
      <alignment wrapText="1"/>
    </xf>
    <xf numFmtId="0" fontId="3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73" fillId="0" borderId="10" xfId="0" applyFont="1" applyFill="1" applyBorder="1" applyAlignment="1" applyProtection="1">
      <alignment horizontal="center" vertical="center" wrapText="1"/>
      <protection hidden="1"/>
    </xf>
    <xf numFmtId="0" fontId="86" fillId="54" borderId="19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/>
    </xf>
    <xf numFmtId="0" fontId="29" fillId="56" borderId="10" xfId="0" applyFont="1" applyFill="1" applyBorder="1" applyAlignment="1" applyProtection="1">
      <alignment horizontal="center" vertical="center"/>
      <protection hidden="1"/>
    </xf>
    <xf numFmtId="0" fontId="29" fillId="58" borderId="10" xfId="0" applyFont="1" applyFill="1" applyBorder="1" applyAlignment="1" applyProtection="1">
      <alignment horizontal="right" vertical="center"/>
      <protection hidden="1"/>
    </xf>
    <xf numFmtId="0" fontId="29" fillId="58" borderId="10" xfId="0" applyFont="1" applyFill="1" applyBorder="1" applyAlignment="1" applyProtection="1">
      <alignment horizontal="right" vertical="center" wrapText="1"/>
      <protection hidden="1"/>
    </xf>
    <xf numFmtId="0" fontId="74" fillId="0" borderId="0" xfId="0" applyFont="1" applyBorder="1" applyAlignment="1" applyProtection="1">
      <alignment vertical="center" wrapText="1"/>
      <protection hidden="1"/>
    </xf>
    <xf numFmtId="0" fontId="30" fillId="0" borderId="0" xfId="411" applyFont="1" applyBorder="1" applyAlignment="1" applyProtection="1">
      <alignment vertical="center"/>
      <protection hidden="1"/>
    </xf>
    <xf numFmtId="166" fontId="30" fillId="53" borderId="17" xfId="0" applyNumberFormat="1" applyFont="1" applyFill="1" applyBorder="1" applyAlignment="1" applyProtection="1">
      <alignment horizontal="left" vertical="center" indent="2"/>
      <protection hidden="1"/>
    </xf>
    <xf numFmtId="0" fontId="30" fillId="53" borderId="17" xfId="0" applyFont="1" applyFill="1" applyBorder="1" applyAlignment="1" applyProtection="1">
      <alignment horizontal="center" vertical="center" wrapText="1"/>
      <protection hidden="1"/>
    </xf>
    <xf numFmtId="4" fontId="30" fillId="53" borderId="11" xfId="0" applyNumberFormat="1" applyFont="1" applyFill="1" applyBorder="1" applyAlignment="1" applyProtection="1">
      <alignment horizontal="center" vertical="center"/>
      <protection hidden="1"/>
    </xf>
    <xf numFmtId="3" fontId="34" fillId="53" borderId="11" xfId="0" applyNumberFormat="1" applyFont="1" applyFill="1" applyBorder="1" applyAlignment="1" applyProtection="1">
      <alignment horizontal="center" vertical="center"/>
      <protection hidden="1"/>
    </xf>
    <xf numFmtId="166" fontId="30" fillId="53" borderId="13" xfId="0" applyNumberFormat="1" applyFont="1" applyFill="1" applyBorder="1" applyAlignment="1" applyProtection="1">
      <alignment horizontal="left" vertical="center" indent="2"/>
      <protection hidden="1"/>
    </xf>
    <xf numFmtId="0" fontId="30" fillId="53" borderId="13" xfId="0" applyFont="1" applyFill="1" applyBorder="1" applyAlignment="1" applyProtection="1">
      <alignment horizontal="center" vertical="center" wrapText="1"/>
      <protection hidden="1"/>
    </xf>
    <xf numFmtId="4" fontId="30" fillId="53" borderId="13" xfId="0" applyNumberFormat="1" applyFont="1" applyFill="1" applyBorder="1" applyAlignment="1" applyProtection="1">
      <alignment horizontal="center" vertical="center"/>
      <protection hidden="1"/>
    </xf>
    <xf numFmtId="3" fontId="34" fillId="53" borderId="13" xfId="0" applyNumberFormat="1" applyFont="1" applyFill="1" applyBorder="1" applyAlignment="1" applyProtection="1">
      <alignment horizontal="center" vertical="center"/>
      <protection hidden="1"/>
    </xf>
    <xf numFmtId="0" fontId="30" fillId="55" borderId="15" xfId="355" applyFont="1" applyFill="1" applyBorder="1" applyAlignment="1">
      <alignment horizontal="center" vertical="center" wrapText="1"/>
    </xf>
    <xf numFmtId="2" fontId="29" fillId="55" borderId="15" xfId="184" applyNumberFormat="1" applyFont="1" applyFill="1" applyBorder="1" applyAlignment="1">
      <alignment horizontal="center" vertical="center" wrapText="1"/>
    </xf>
    <xf numFmtId="3" fontId="34" fillId="55" borderId="17" xfId="355" applyNumberFormat="1" applyFont="1" applyFill="1" applyBorder="1" applyAlignment="1">
      <alignment horizontal="center" vertical="center"/>
    </xf>
    <xf numFmtId="166" fontId="30" fillId="0" borderId="0" xfId="0" applyNumberFormat="1" applyFont="1"/>
    <xf numFmtId="166" fontId="68" fillId="0" borderId="0" xfId="0" applyNumberFormat="1" applyFont="1" applyFill="1"/>
    <xf numFmtId="166" fontId="68" fillId="0" borderId="0" xfId="0" applyNumberFormat="1" applyFont="1"/>
    <xf numFmtId="0" fontId="30" fillId="0" borderId="10" xfId="0" applyNumberFormat="1" applyFont="1" applyBorder="1" applyAlignment="1" applyProtection="1">
      <alignment horizontal="center" vertical="center" wrapText="1"/>
      <protection hidden="1"/>
    </xf>
    <xf numFmtId="2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166" fontId="30" fillId="0" borderId="10" xfId="0" applyNumberFormat="1" applyFont="1" applyBorder="1" applyAlignment="1" applyProtection="1">
      <alignment horizontal="center" vertical="center" wrapText="1"/>
      <protection hidden="1"/>
    </xf>
    <xf numFmtId="2" fontId="30" fillId="0" borderId="10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2" fontId="30" fillId="0" borderId="10" xfId="0" applyNumberFormat="1" applyFont="1" applyBorder="1" applyAlignment="1">
      <alignment horizontal="center" vertical="center" wrapText="1"/>
    </xf>
    <xf numFmtId="166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>
      <alignment horizontal="center" vertical="center" wrapText="1"/>
    </xf>
    <xf numFmtId="0" fontId="34" fillId="0" borderId="0" xfId="355" applyFont="1" applyBorder="1" applyAlignment="1">
      <alignment horizontal="center" vertical="center" wrapText="1"/>
    </xf>
    <xf numFmtId="2" fontId="29" fillId="0" borderId="0" xfId="184" applyNumberFormat="1" applyFont="1" applyFill="1" applyBorder="1" applyAlignment="1">
      <alignment horizontal="center" vertical="center" wrapText="1"/>
    </xf>
    <xf numFmtId="4" fontId="30" fillId="0" borderId="0" xfId="355" applyNumberFormat="1" applyFont="1" applyFill="1" applyBorder="1" applyAlignment="1">
      <alignment horizontal="center" vertical="center" wrapText="1"/>
    </xf>
    <xf numFmtId="3" fontId="34" fillId="0" borderId="0" xfId="355" applyNumberFormat="1" applyFont="1" applyFill="1" applyBorder="1" applyAlignment="1">
      <alignment horizontal="center" vertical="center" wrapText="1"/>
    </xf>
    <xf numFmtId="0" fontId="34" fillId="0" borderId="10" xfId="355" applyFont="1" applyBorder="1" applyAlignment="1">
      <alignment horizontal="center" vertical="center" wrapText="1"/>
    </xf>
    <xf numFmtId="0" fontId="29" fillId="47" borderId="17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20" xfId="334" applyFont="1" applyBorder="1" applyAlignment="1" applyProtection="1">
      <alignment horizontal="center" vertical="center"/>
      <protection hidden="1"/>
    </xf>
    <xf numFmtId="0" fontId="30" fillId="0" borderId="37" xfId="334" applyNumberFormat="1" applyFont="1" applyBorder="1" applyAlignment="1" applyProtection="1">
      <alignment horizontal="center" vertical="center" wrapText="1"/>
      <protection hidden="1"/>
    </xf>
    <xf numFmtId="0" fontId="30" fillId="0" borderId="32" xfId="334" applyNumberFormat="1" applyFont="1" applyBorder="1" applyAlignment="1" applyProtection="1">
      <alignment horizontal="center" vertical="center" wrapText="1"/>
      <protection hidden="1"/>
    </xf>
    <xf numFmtId="0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84" fillId="0" borderId="28" xfId="0" applyFont="1" applyBorder="1" applyAlignment="1" applyProtection="1">
      <alignment horizontal="center" vertical="center" wrapText="1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3" fontId="59" fillId="0" borderId="15" xfId="0" applyNumberFormat="1" applyFont="1" applyFill="1" applyBorder="1" applyAlignment="1" applyProtection="1">
      <alignment horizontal="center" vertical="center"/>
      <protection hidden="1"/>
    </xf>
    <xf numFmtId="2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84" fillId="0" borderId="28" xfId="0" applyFont="1" applyFill="1" applyBorder="1" applyAlignment="1" applyProtection="1">
      <alignment horizontal="center" vertical="center" wrapText="1"/>
      <protection hidden="1"/>
    </xf>
    <xf numFmtId="4" fontId="30" fillId="0" borderId="10" xfId="0" applyNumberFormat="1" applyFont="1" applyFill="1" applyBorder="1" applyAlignment="1" applyProtection="1">
      <alignment horizontal="center" vertical="center"/>
      <protection hidden="1"/>
    </xf>
    <xf numFmtId="0" fontId="29" fillId="0" borderId="10" xfId="0" applyFont="1" applyFill="1" applyBorder="1" applyAlignment="1" applyProtection="1">
      <alignment horizontal="center" vertical="center" wrapText="1"/>
      <protection hidden="1"/>
    </xf>
    <xf numFmtId="2" fontId="30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84" fillId="0" borderId="0" xfId="0" applyFont="1" applyBorder="1" applyAlignment="1" applyProtection="1">
      <alignment vertical="center" wrapText="1"/>
      <protection hidden="1"/>
    </xf>
    <xf numFmtId="0" fontId="84" fillId="0" borderId="0" xfId="0" applyFont="1" applyFill="1" applyBorder="1" applyAlignment="1" applyProtection="1">
      <alignment vertical="center" wrapText="1"/>
      <protection hidden="1"/>
    </xf>
    <xf numFmtId="0" fontId="30" fillId="51" borderId="0" xfId="0" applyNumberFormat="1" applyFont="1" applyFill="1" applyBorder="1" applyAlignment="1" applyProtection="1">
      <alignment horizontal="center" vertical="center" wrapText="1"/>
      <protection hidden="1"/>
    </xf>
    <xf numFmtId="0" fontId="62" fillId="51" borderId="23" xfId="0" applyFont="1" applyFill="1" applyBorder="1" applyAlignment="1">
      <alignment horizontal="center"/>
    </xf>
    <xf numFmtId="1" fontId="30" fillId="0" borderId="10" xfId="0" applyNumberFormat="1" applyFont="1" applyFill="1" applyBorder="1" applyAlignment="1" applyProtection="1">
      <alignment horizontal="center" vertical="center"/>
      <protection hidden="1"/>
    </xf>
    <xf numFmtId="0" fontId="62" fillId="49" borderId="0" xfId="0" applyFont="1" applyFill="1" applyAlignment="1">
      <alignment horizontal="center" vertical="center"/>
    </xf>
    <xf numFmtId="0" fontId="74" fillId="0" borderId="0" xfId="0" applyFont="1" applyFill="1" applyBorder="1" applyAlignment="1" applyProtection="1">
      <alignment vertical="top" wrapText="1"/>
      <protection hidden="1"/>
    </xf>
    <xf numFmtId="0" fontId="64" fillId="0" borderId="0" xfId="356" applyFont="1" applyBorder="1" applyAlignment="1" applyProtection="1">
      <alignment horizontal="center" vertical="center"/>
      <protection hidden="1"/>
    </xf>
    <xf numFmtId="0" fontId="69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7" fillId="0" borderId="0" xfId="0" applyFont="1" applyBorder="1" applyAlignment="1">
      <alignment horizontal="center" vertical="center" wrapText="1"/>
    </xf>
    <xf numFmtId="0" fontId="62" fillId="0" borderId="0" xfId="357" applyFont="1" applyAlignment="1">
      <alignment horizontal="center" vertical="center"/>
    </xf>
    <xf numFmtId="0" fontId="81" fillId="0" borderId="0" xfId="0" applyFont="1" applyAlignment="1">
      <alignment vertical="center"/>
    </xf>
    <xf numFmtId="166" fontId="0" fillId="0" borderId="0" xfId="0" applyNumberFormat="1"/>
    <xf numFmtId="3" fontId="30" fillId="0" borderId="0" xfId="0" applyNumberFormat="1" applyFont="1" applyAlignment="1">
      <alignment vertical="center"/>
    </xf>
    <xf numFmtId="14" fontId="30" fillId="0" borderId="0" xfId="0" applyNumberFormat="1" applyFont="1" applyAlignment="1">
      <alignment horizontal="left"/>
    </xf>
    <xf numFmtId="0" fontId="86" fillId="54" borderId="19" xfId="0" applyFont="1" applyFill="1" applyBorder="1" applyAlignment="1">
      <alignment horizontal="left" vertical="center"/>
    </xf>
    <xf numFmtId="0" fontId="29" fillId="0" borderId="0" xfId="334" applyFont="1" applyBorder="1" applyAlignment="1" applyProtection="1">
      <alignment horizontal="center" vertical="center" wrapText="1"/>
      <protection hidden="1"/>
    </xf>
    <xf numFmtId="0" fontId="30" fillId="0" borderId="15" xfId="330" applyFont="1" applyBorder="1" applyAlignment="1" applyProtection="1">
      <alignment horizontal="center" vertical="center" wrapText="1"/>
      <protection hidden="1"/>
    </xf>
    <xf numFmtId="0" fontId="30" fillId="0" borderId="0" xfId="334" applyFont="1" applyFill="1" applyBorder="1" applyAlignment="1" applyProtection="1">
      <alignment vertical="center" wrapText="1"/>
      <protection hidden="1"/>
    </xf>
    <xf numFmtId="0" fontId="30" fillId="0" borderId="24" xfId="334" applyFont="1" applyFill="1" applyBorder="1" applyAlignment="1" applyProtection="1">
      <alignment vertical="center" wrapText="1"/>
      <protection hidden="1"/>
    </xf>
    <xf numFmtId="0" fontId="29" fillId="0" borderId="0" xfId="334" applyFont="1" applyBorder="1" applyAlignment="1" applyProtection="1">
      <alignment horizontal="center" vertical="center" wrapText="1"/>
      <protection hidden="1"/>
    </xf>
    <xf numFmtId="0" fontId="30" fillId="0" borderId="15" xfId="0" applyNumberFormat="1" applyFont="1" applyBorder="1" applyAlignment="1" applyProtection="1">
      <alignment horizontal="center" vertical="center" wrapText="1"/>
      <protection hidden="1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29" fillId="56" borderId="17" xfId="0" applyFont="1" applyFill="1" applyBorder="1" applyAlignment="1" applyProtection="1">
      <alignment horizontal="center" vertical="center" wrapText="1"/>
      <protection hidden="1"/>
    </xf>
    <xf numFmtId="4" fontId="30" fillId="0" borderId="15" xfId="0" applyNumberFormat="1" applyFont="1" applyFill="1" applyBorder="1" applyAlignment="1" applyProtection="1">
      <alignment horizontal="center" vertical="center"/>
      <protection hidden="1"/>
    </xf>
    <xf numFmtId="0" fontId="29" fillId="52" borderId="17" xfId="0" applyFont="1" applyFill="1" applyBorder="1" applyAlignment="1" applyProtection="1">
      <alignment horizontal="center" vertical="center" wrapText="1"/>
      <protection hidden="1"/>
    </xf>
    <xf numFmtId="1" fontId="107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107" fillId="0" borderId="11" xfId="0" applyNumberFormat="1" applyFont="1" applyFill="1" applyBorder="1" applyAlignment="1" applyProtection="1">
      <alignment horizontal="center" vertical="center" wrapText="1"/>
      <protection hidden="1"/>
    </xf>
    <xf numFmtId="3" fontId="107" fillId="53" borderId="11" xfId="0" applyNumberFormat="1" applyFont="1" applyFill="1" applyBorder="1" applyAlignment="1" applyProtection="1">
      <alignment horizontal="center" vertical="center" wrapText="1"/>
      <protection hidden="1"/>
    </xf>
    <xf numFmtId="3" fontId="107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107" fillId="53" borderId="12" xfId="0" applyNumberFormat="1" applyFont="1" applyFill="1" applyBorder="1" applyAlignment="1" applyProtection="1">
      <alignment horizontal="center" vertical="center" wrapText="1"/>
      <protection hidden="1"/>
    </xf>
    <xf numFmtId="0" fontId="95" fillId="0" borderId="30" xfId="0" applyFont="1" applyBorder="1" applyAlignment="1" applyProtection="1">
      <alignment horizontal="center" vertical="center"/>
      <protection hidden="1"/>
    </xf>
    <xf numFmtId="0" fontId="96" fillId="0" borderId="30" xfId="0" applyFont="1" applyBorder="1" applyAlignment="1" applyProtection="1">
      <alignment horizontal="center" vertical="center"/>
      <protection hidden="1"/>
    </xf>
    <xf numFmtId="1" fontId="107" fillId="0" borderId="30" xfId="0" applyNumberFormat="1" applyFont="1" applyFill="1" applyBorder="1" applyAlignment="1" applyProtection="1">
      <alignment horizontal="center" vertical="center" wrapText="1"/>
      <protection hidden="1"/>
    </xf>
    <xf numFmtId="1" fontId="107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95" fillId="0" borderId="20" xfId="0" applyFont="1" applyBorder="1" applyAlignment="1" applyProtection="1">
      <alignment horizontal="center" vertical="center"/>
      <protection hidden="1"/>
    </xf>
    <xf numFmtId="0" fontId="96" fillId="0" borderId="20" xfId="0" applyFont="1" applyBorder="1" applyAlignment="1" applyProtection="1">
      <alignment horizontal="center" vertical="center"/>
      <protection hidden="1"/>
    </xf>
    <xf numFmtId="2" fontId="95" fillId="0" borderId="20" xfId="0" applyNumberFormat="1" applyFont="1" applyBorder="1" applyAlignment="1" applyProtection="1">
      <alignment horizontal="center" vertical="center"/>
      <protection hidden="1"/>
    </xf>
    <xf numFmtId="1" fontId="95" fillId="0" borderId="20" xfId="0" applyNumberFormat="1" applyFont="1" applyBorder="1" applyAlignment="1" applyProtection="1">
      <alignment horizontal="center" vertical="center"/>
      <protection hidden="1"/>
    </xf>
    <xf numFmtId="1" fontId="107" fillId="0" borderId="20" xfId="0" applyNumberFormat="1" applyFont="1" applyFill="1" applyBorder="1" applyAlignment="1" applyProtection="1">
      <alignment horizontal="center" vertical="center" wrapText="1"/>
      <protection hidden="1"/>
    </xf>
    <xf numFmtId="1" fontId="109" fillId="59" borderId="10" xfId="0" applyNumberFormat="1" applyFont="1" applyFill="1" applyBorder="1" applyAlignment="1" applyProtection="1">
      <alignment horizontal="center" vertical="center" wrapText="1"/>
      <protection hidden="1"/>
    </xf>
    <xf numFmtId="166" fontId="108" fillId="59" borderId="10" xfId="0" applyNumberFormat="1" applyFont="1" applyFill="1" applyBorder="1" applyAlignment="1" applyProtection="1">
      <alignment horizontal="center" vertical="center"/>
      <protection hidden="1"/>
    </xf>
    <xf numFmtId="0" fontId="107" fillId="0" borderId="12" xfId="0" applyFont="1" applyFill="1" applyBorder="1" applyAlignment="1" applyProtection="1">
      <alignment horizontal="center" vertical="center" wrapText="1"/>
      <protection hidden="1"/>
    </xf>
    <xf numFmtId="1" fontId="34" fillId="49" borderId="36" xfId="0" applyNumberFormat="1" applyFont="1" applyFill="1" applyBorder="1" applyAlignment="1" applyProtection="1">
      <alignment horizontal="center" vertical="center" wrapText="1"/>
      <protection hidden="1"/>
    </xf>
    <xf numFmtId="0" fontId="29" fillId="58" borderId="17" xfId="0" applyFont="1" applyFill="1" applyBorder="1" applyAlignment="1" applyProtection="1">
      <alignment horizontal="center" vertical="center" wrapText="1"/>
      <protection hidden="1"/>
    </xf>
    <xf numFmtId="1" fontId="34" fillId="49" borderId="32" xfId="0" applyNumberFormat="1" applyFont="1" applyFill="1" applyBorder="1" applyAlignment="1" applyProtection="1">
      <alignment horizontal="center" vertical="center" wrapText="1"/>
      <protection hidden="1"/>
    </xf>
    <xf numFmtId="0" fontId="110" fillId="59" borderId="10" xfId="0" applyFont="1" applyFill="1" applyBorder="1" applyAlignment="1" applyProtection="1">
      <alignment horizontal="center" vertical="center"/>
      <protection hidden="1"/>
    </xf>
    <xf numFmtId="2" fontId="110" fillId="59" borderId="10" xfId="0" applyNumberFormat="1" applyFont="1" applyFill="1" applyBorder="1" applyAlignment="1" applyProtection="1">
      <alignment horizontal="center" vertical="center"/>
      <protection hidden="1"/>
    </xf>
    <xf numFmtId="1" fontId="110" fillId="59" borderId="10" xfId="0" applyNumberFormat="1" applyFont="1" applyFill="1" applyBorder="1" applyAlignment="1" applyProtection="1">
      <alignment horizontal="center" vertical="center"/>
      <protection hidden="1"/>
    </xf>
    <xf numFmtId="1" fontId="111" fillId="59" borderId="10" xfId="0" applyNumberFormat="1" applyFont="1" applyFill="1" applyBorder="1" applyAlignment="1" applyProtection="1">
      <alignment horizontal="center" vertical="center" wrapText="1"/>
      <protection hidden="1"/>
    </xf>
    <xf numFmtId="1" fontId="95" fillId="0" borderId="14" xfId="0" applyNumberFormat="1" applyFont="1" applyFill="1" applyBorder="1" applyAlignment="1" applyProtection="1">
      <alignment horizontal="center" vertical="center"/>
      <protection hidden="1"/>
    </xf>
    <xf numFmtId="1" fontId="96" fillId="0" borderId="14" xfId="0" applyNumberFormat="1" applyFont="1" applyFill="1" applyBorder="1" applyAlignment="1" applyProtection="1">
      <alignment horizontal="center" vertical="center"/>
      <protection hidden="1"/>
    </xf>
    <xf numFmtId="3" fontId="34" fillId="0" borderId="22" xfId="0" applyNumberFormat="1" applyFont="1" applyFill="1" applyBorder="1" applyAlignment="1" applyProtection="1">
      <alignment horizontal="center" vertical="center"/>
      <protection hidden="1"/>
    </xf>
    <xf numFmtId="3" fontId="34" fillId="0" borderId="32" xfId="0" applyNumberFormat="1" applyFont="1" applyFill="1" applyBorder="1" applyAlignment="1" applyProtection="1">
      <alignment horizontal="center" vertical="center"/>
      <protection hidden="1"/>
    </xf>
    <xf numFmtId="3" fontId="34" fillId="0" borderId="38" xfId="0" applyNumberFormat="1" applyFont="1" applyFill="1" applyBorder="1" applyAlignment="1" applyProtection="1">
      <alignment horizontal="center" vertical="center"/>
      <protection hidden="1"/>
    </xf>
    <xf numFmtId="1" fontId="30" fillId="57" borderId="24" xfId="0" applyNumberFormat="1" applyFont="1" applyFill="1" applyBorder="1" applyAlignment="1" applyProtection="1">
      <alignment horizontal="center" vertical="center" wrapText="1"/>
      <protection hidden="1"/>
    </xf>
    <xf numFmtId="166" fontId="30" fillId="0" borderId="30" xfId="0" applyNumberFormat="1" applyFont="1" applyFill="1" applyBorder="1" applyAlignment="1" applyProtection="1">
      <alignment horizontal="left" vertical="center" indent="2"/>
      <protection hidden="1"/>
    </xf>
    <xf numFmtId="3" fontId="34" fillId="0" borderId="30" xfId="0" applyNumberFormat="1" applyFont="1" applyFill="1" applyBorder="1" applyAlignment="1" applyProtection="1">
      <alignment horizontal="center" vertical="center"/>
      <protection hidden="1"/>
    </xf>
    <xf numFmtId="0" fontId="37" fillId="59" borderId="10" xfId="0" applyFont="1" applyFill="1" applyBorder="1" applyAlignment="1" applyProtection="1">
      <alignment horizontal="center" vertical="center" wrapText="1"/>
      <protection hidden="1"/>
    </xf>
    <xf numFmtId="4" fontId="37" fillId="59" borderId="10" xfId="0" applyNumberFormat="1" applyFont="1" applyFill="1" applyBorder="1" applyAlignment="1" applyProtection="1">
      <alignment horizontal="center" vertical="center"/>
      <protection hidden="1"/>
    </xf>
    <xf numFmtId="0" fontId="37" fillId="59" borderId="62" xfId="0" applyFont="1" applyFill="1" applyBorder="1" applyAlignment="1" applyProtection="1">
      <alignment horizontal="center" vertical="center" wrapText="1"/>
      <protection hidden="1"/>
    </xf>
    <xf numFmtId="3" fontId="113" fillId="59" borderId="97" xfId="0" applyNumberFormat="1" applyFont="1" applyFill="1" applyBorder="1" applyAlignment="1" applyProtection="1">
      <alignment horizontal="center" vertical="center"/>
      <protection hidden="1"/>
    </xf>
    <xf numFmtId="0" fontId="37" fillId="59" borderId="26" xfId="0" applyFont="1" applyFill="1" applyBorder="1" applyAlignment="1" applyProtection="1">
      <alignment horizontal="center" vertical="center" wrapText="1"/>
      <protection hidden="1"/>
    </xf>
    <xf numFmtId="0" fontId="25" fillId="0" borderId="20" xfId="0" applyFont="1" applyFill="1" applyBorder="1" applyAlignment="1" applyProtection="1">
      <alignment horizontal="center" vertical="center" wrapText="1"/>
      <protection hidden="1"/>
    </xf>
    <xf numFmtId="2" fontId="30" fillId="0" borderId="15" xfId="0" applyNumberFormat="1" applyFont="1" applyBorder="1" applyAlignment="1" applyProtection="1">
      <alignment horizontal="center" vertical="center" wrapText="1"/>
      <protection hidden="1"/>
    </xf>
    <xf numFmtId="0" fontId="25" fillId="0" borderId="15" xfId="0" applyFont="1" applyBorder="1" applyAlignment="1" applyProtection="1">
      <alignment horizontal="center" vertical="center" wrapText="1"/>
      <protection hidden="1"/>
    </xf>
    <xf numFmtId="0" fontId="26" fillId="59" borderId="62" xfId="0" applyFont="1" applyFill="1" applyBorder="1" applyAlignment="1" applyProtection="1">
      <alignment horizontal="center" vertical="center" wrapText="1"/>
      <protection hidden="1"/>
    </xf>
    <xf numFmtId="0" fontId="26" fillId="59" borderId="26" xfId="0" applyFont="1" applyFill="1" applyBorder="1" applyAlignment="1" applyProtection="1">
      <alignment horizontal="center" vertical="center" wrapText="1"/>
      <protection hidden="1"/>
    </xf>
    <xf numFmtId="0" fontId="108" fillId="59" borderId="99" xfId="0" applyFont="1" applyFill="1" applyBorder="1" applyAlignment="1" applyProtection="1">
      <alignment horizontal="left" vertical="center" wrapText="1" indent="1"/>
      <protection hidden="1"/>
    </xf>
    <xf numFmtId="1" fontId="108" fillId="59" borderId="96" xfId="0" applyNumberFormat="1" applyFont="1" applyFill="1" applyBorder="1" applyAlignment="1" applyProtection="1">
      <alignment horizontal="center" vertical="center" wrapText="1"/>
      <protection hidden="1"/>
    </xf>
    <xf numFmtId="1" fontId="108" fillId="59" borderId="97" xfId="0" applyNumberFormat="1" applyFont="1" applyFill="1" applyBorder="1" applyAlignment="1" applyProtection="1">
      <alignment horizontal="center" vertical="center" wrapText="1"/>
      <protection hidden="1"/>
    </xf>
    <xf numFmtId="0" fontId="108" fillId="59" borderId="100" xfId="0" applyFont="1" applyFill="1" applyBorder="1" applyAlignment="1" applyProtection="1">
      <alignment horizontal="left" vertical="center" wrapText="1" indent="1"/>
      <protection hidden="1"/>
    </xf>
    <xf numFmtId="1" fontId="108" fillId="59" borderId="98" xfId="0" applyNumberFormat="1" applyFont="1" applyFill="1" applyBorder="1" applyAlignment="1" applyProtection="1">
      <alignment horizontal="center" vertical="center" wrapText="1"/>
      <protection hidden="1"/>
    </xf>
    <xf numFmtId="1" fontId="95" fillId="0" borderId="94" xfId="0" applyNumberFormat="1" applyFont="1" applyFill="1" applyBorder="1" applyAlignment="1" applyProtection="1">
      <alignment horizontal="center" vertical="center"/>
      <protection hidden="1"/>
    </xf>
    <xf numFmtId="1" fontId="96" fillId="0" borderId="94" xfId="0" applyNumberFormat="1" applyFont="1" applyFill="1" applyBorder="1" applyAlignment="1" applyProtection="1">
      <alignment horizontal="center" vertical="center"/>
      <protection hidden="1"/>
    </xf>
    <xf numFmtId="0" fontId="95" fillId="0" borderId="94" xfId="0" applyFont="1" applyBorder="1" applyAlignment="1" applyProtection="1">
      <alignment horizontal="center" vertical="center"/>
      <protection hidden="1"/>
    </xf>
    <xf numFmtId="1" fontId="95" fillId="0" borderId="94" xfId="0" applyNumberFormat="1" applyFont="1" applyBorder="1" applyAlignment="1" applyProtection="1">
      <alignment horizontal="center" vertical="center"/>
      <protection hidden="1"/>
    </xf>
    <xf numFmtId="1" fontId="107" fillId="0" borderId="94" xfId="0" applyNumberFormat="1" applyFont="1" applyFill="1" applyBorder="1" applyAlignment="1" applyProtection="1">
      <alignment horizontal="center" vertical="center" wrapText="1"/>
      <protection hidden="1"/>
    </xf>
    <xf numFmtId="0" fontId="108" fillId="59" borderId="99" xfId="0" applyFont="1" applyFill="1" applyBorder="1" applyAlignment="1" applyProtection="1">
      <alignment horizontal="center" vertical="center"/>
      <protection hidden="1"/>
    </xf>
    <xf numFmtId="0" fontId="110" fillId="59" borderId="62" xfId="0" applyFont="1" applyFill="1" applyBorder="1" applyAlignment="1" applyProtection="1">
      <alignment horizontal="center" vertical="center"/>
      <protection hidden="1"/>
    </xf>
    <xf numFmtId="2" fontId="110" fillId="59" borderId="62" xfId="0" applyNumberFormat="1" applyFont="1" applyFill="1" applyBorder="1" applyAlignment="1" applyProtection="1">
      <alignment horizontal="center" vertical="center"/>
      <protection hidden="1"/>
    </xf>
    <xf numFmtId="1" fontId="110" fillId="59" borderId="62" xfId="0" applyNumberFormat="1" applyFont="1" applyFill="1" applyBorder="1" applyAlignment="1" applyProtection="1">
      <alignment horizontal="center" vertical="center"/>
      <protection hidden="1"/>
    </xf>
    <xf numFmtId="1" fontId="109" fillId="59" borderId="62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92" xfId="0" applyFont="1" applyBorder="1" applyAlignment="1" applyProtection="1">
      <alignment horizontal="center" vertical="center"/>
      <protection hidden="1"/>
    </xf>
    <xf numFmtId="0" fontId="108" fillId="59" borderId="101" xfId="0" applyFont="1" applyFill="1" applyBorder="1" applyAlignment="1" applyProtection="1">
      <alignment horizontal="center" vertical="center"/>
      <protection hidden="1"/>
    </xf>
    <xf numFmtId="166" fontId="30" fillId="0" borderId="109" xfId="0" applyNumberFormat="1" applyFont="1" applyBorder="1" applyAlignment="1" applyProtection="1">
      <alignment horizontal="center" vertical="center"/>
      <protection hidden="1"/>
    </xf>
    <xf numFmtId="166" fontId="30" fillId="0" borderId="110" xfId="0" applyNumberFormat="1" applyFont="1" applyBorder="1" applyAlignment="1" applyProtection="1">
      <alignment horizontal="center" vertical="center"/>
      <protection hidden="1"/>
    </xf>
    <xf numFmtId="166" fontId="108" fillId="59" borderId="101" xfId="0" applyNumberFormat="1" applyFont="1" applyFill="1" applyBorder="1" applyAlignment="1" applyProtection="1">
      <alignment horizontal="center" vertical="center"/>
      <protection hidden="1"/>
    </xf>
    <xf numFmtId="166" fontId="30" fillId="0" borderId="92" xfId="0" applyNumberFormat="1" applyFont="1" applyFill="1" applyBorder="1" applyAlignment="1" applyProtection="1">
      <alignment horizontal="center" vertical="center"/>
      <protection hidden="1"/>
    </xf>
    <xf numFmtId="166" fontId="30" fillId="0" borderId="109" xfId="0" applyNumberFormat="1" applyFont="1" applyFill="1" applyBorder="1" applyAlignment="1" applyProtection="1">
      <alignment horizontal="center" vertical="center"/>
      <protection hidden="1"/>
    </xf>
    <xf numFmtId="166" fontId="30" fillId="0" borderId="111" xfId="0" applyNumberFormat="1" applyFont="1" applyFill="1" applyBorder="1" applyAlignment="1" applyProtection="1">
      <alignment horizontal="center" vertical="center"/>
      <protection hidden="1"/>
    </xf>
    <xf numFmtId="166" fontId="30" fillId="0" borderId="93" xfId="0" applyNumberFormat="1" applyFont="1" applyFill="1" applyBorder="1" applyAlignment="1" applyProtection="1">
      <alignment horizontal="center" vertical="center"/>
      <protection hidden="1"/>
    </xf>
    <xf numFmtId="0" fontId="29" fillId="59" borderId="17" xfId="0" applyFont="1" applyFill="1" applyBorder="1" applyAlignment="1" applyProtection="1">
      <alignment horizontal="center" vertical="center" wrapText="1"/>
      <protection hidden="1"/>
    </xf>
    <xf numFmtId="0" fontId="68" fillId="0" borderId="102" xfId="0" applyFont="1" applyBorder="1" applyAlignment="1"/>
    <xf numFmtId="0" fontId="68" fillId="0" borderId="103" xfId="0" applyFont="1" applyBorder="1" applyAlignment="1"/>
    <xf numFmtId="0" fontId="68" fillId="0" borderId="104" xfId="0" applyFont="1" applyBorder="1" applyAlignment="1"/>
    <xf numFmtId="1" fontId="34" fillId="49" borderId="34" xfId="0" applyNumberFormat="1" applyFont="1" applyFill="1" applyBorder="1" applyAlignment="1" applyProtection="1">
      <alignment horizontal="center" vertical="center" wrapText="1"/>
      <protection hidden="1"/>
    </xf>
    <xf numFmtId="0" fontId="95" fillId="0" borderId="79" xfId="0" applyFont="1" applyBorder="1" applyAlignment="1" applyProtection="1">
      <alignment horizontal="center" vertical="center"/>
      <protection hidden="1"/>
    </xf>
    <xf numFmtId="0" fontId="96" fillId="0" borderId="79" xfId="0" applyFont="1" applyBorder="1" applyAlignment="1" applyProtection="1">
      <alignment horizontal="center" vertical="center"/>
      <protection hidden="1"/>
    </xf>
    <xf numFmtId="2" fontId="95" fillId="0" borderId="79" xfId="0" applyNumberFormat="1" applyFont="1" applyBorder="1" applyAlignment="1" applyProtection="1">
      <alignment horizontal="center" vertical="center"/>
      <protection hidden="1"/>
    </xf>
    <xf numFmtId="1" fontId="95" fillId="0" borderId="79" xfId="0" applyNumberFormat="1" applyFont="1" applyBorder="1" applyAlignment="1" applyProtection="1">
      <alignment horizontal="center" vertical="center"/>
      <protection hidden="1"/>
    </xf>
    <xf numFmtId="1" fontId="107" fillId="0" borderId="79" xfId="0" applyNumberFormat="1" applyFont="1" applyFill="1" applyBorder="1" applyAlignment="1" applyProtection="1">
      <alignment horizontal="center" vertical="center" wrapText="1"/>
      <protection hidden="1"/>
    </xf>
    <xf numFmtId="0" fontId="96" fillId="0" borderId="94" xfId="0" applyFont="1" applyBorder="1" applyAlignment="1" applyProtection="1">
      <alignment horizontal="center" vertical="center"/>
      <protection hidden="1"/>
    </xf>
    <xf numFmtId="2" fontId="95" fillId="0" borderId="94" xfId="0" applyNumberFormat="1" applyFont="1" applyBorder="1" applyAlignment="1" applyProtection="1">
      <alignment horizontal="center" vertical="center"/>
      <protection hidden="1"/>
    </xf>
    <xf numFmtId="1" fontId="33" fillId="59" borderId="86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91" xfId="0" applyFont="1" applyBorder="1" applyAlignment="1" applyProtection="1">
      <alignment horizontal="center" vertical="center"/>
      <protection hidden="1"/>
    </xf>
    <xf numFmtId="0" fontId="30" fillId="0" borderId="110" xfId="0" applyFont="1" applyBorder="1" applyAlignment="1" applyProtection="1">
      <alignment horizontal="center" vertical="center"/>
      <protection hidden="1"/>
    </xf>
    <xf numFmtId="1" fontId="113" fillId="59" borderId="97" xfId="0" applyNumberFormat="1" applyFont="1" applyFill="1" applyBorder="1" applyAlignment="1" applyProtection="1">
      <alignment horizontal="center" vertical="center" wrapText="1"/>
      <protection hidden="1"/>
    </xf>
    <xf numFmtId="166" fontId="30" fillId="0" borderId="92" xfId="0" applyNumberFormat="1" applyFont="1" applyBorder="1" applyAlignment="1" applyProtection="1">
      <alignment horizontal="center" vertical="center"/>
      <protection hidden="1"/>
    </xf>
    <xf numFmtId="166" fontId="30" fillId="0" borderId="111" xfId="0" applyNumberFormat="1" applyFont="1" applyBorder="1" applyAlignment="1" applyProtection="1">
      <alignment horizontal="center" vertical="center"/>
      <protection hidden="1"/>
    </xf>
    <xf numFmtId="166" fontId="30" fillId="0" borderId="93" xfId="0" applyNumberFormat="1" applyFont="1" applyBorder="1" applyAlignment="1" applyProtection="1">
      <alignment horizontal="center" vertical="center"/>
      <protection hidden="1"/>
    </xf>
    <xf numFmtId="166" fontId="30" fillId="61" borderId="11" xfId="0" applyNumberFormat="1" applyFont="1" applyFill="1" applyBorder="1" applyAlignment="1" applyProtection="1">
      <alignment horizontal="center" vertical="center"/>
      <protection hidden="1"/>
    </xf>
    <xf numFmtId="0" fontId="84" fillId="61" borderId="11" xfId="0" applyNumberFormat="1" applyFont="1" applyFill="1" applyBorder="1" applyAlignment="1" applyProtection="1">
      <alignment horizontal="center" vertical="center"/>
      <protection hidden="1"/>
    </xf>
    <xf numFmtId="0" fontId="30" fillId="61" borderId="11" xfId="0" applyFont="1" applyFill="1" applyBorder="1" applyAlignment="1" applyProtection="1">
      <alignment horizontal="center" vertical="center" wrapText="1"/>
      <protection hidden="1"/>
    </xf>
    <xf numFmtId="4" fontId="30" fillId="61" borderId="11" xfId="0" applyNumberFormat="1" applyFont="1" applyFill="1" applyBorder="1" applyAlignment="1" applyProtection="1">
      <alignment horizontal="center" vertical="center"/>
      <protection hidden="1"/>
    </xf>
    <xf numFmtId="3" fontId="59" fillId="61" borderId="11" xfId="0" applyNumberFormat="1" applyFont="1" applyFill="1" applyBorder="1" applyAlignment="1" applyProtection="1">
      <alignment horizontal="center" vertical="center"/>
      <protection hidden="1"/>
    </xf>
    <xf numFmtId="166" fontId="30" fillId="61" borderId="14" xfId="0" applyNumberFormat="1" applyFont="1" applyFill="1" applyBorder="1" applyAlignment="1" applyProtection="1">
      <alignment horizontal="center" vertical="center"/>
      <protection hidden="1"/>
    </xf>
    <xf numFmtId="0" fontId="84" fillId="61" borderId="14" xfId="0" applyNumberFormat="1" applyFont="1" applyFill="1" applyBorder="1" applyAlignment="1" applyProtection="1">
      <alignment horizontal="center" vertical="center"/>
      <protection hidden="1"/>
    </xf>
    <xf numFmtId="0" fontId="30" fillId="61" borderId="14" xfId="0" applyFont="1" applyFill="1" applyBorder="1" applyAlignment="1" applyProtection="1">
      <alignment horizontal="center" vertical="center" wrapText="1"/>
      <protection hidden="1"/>
    </xf>
    <xf numFmtId="4" fontId="30" fillId="61" borderId="14" xfId="0" applyNumberFormat="1" applyFont="1" applyFill="1" applyBorder="1" applyAlignment="1" applyProtection="1">
      <alignment horizontal="center" vertical="center"/>
      <protection hidden="1"/>
    </xf>
    <xf numFmtId="3" fontId="59" fillId="61" borderId="12" xfId="0" applyNumberFormat="1" applyFont="1" applyFill="1" applyBorder="1" applyAlignment="1" applyProtection="1">
      <alignment horizontal="center" vertical="center"/>
      <protection hidden="1"/>
    </xf>
    <xf numFmtId="166" fontId="30" fillId="61" borderId="12" xfId="0" applyNumberFormat="1" applyFont="1" applyFill="1" applyBorder="1" applyAlignment="1" applyProtection="1">
      <alignment horizontal="center" vertical="center"/>
      <protection hidden="1"/>
    </xf>
    <xf numFmtId="0" fontId="84" fillId="61" borderId="12" xfId="0" applyNumberFormat="1" applyFont="1" applyFill="1" applyBorder="1" applyAlignment="1" applyProtection="1">
      <alignment horizontal="center" vertical="center"/>
      <protection hidden="1"/>
    </xf>
    <xf numFmtId="0" fontId="30" fillId="61" borderId="12" xfId="0" applyFont="1" applyFill="1" applyBorder="1" applyAlignment="1" applyProtection="1">
      <alignment horizontal="center" vertical="center" wrapText="1"/>
      <protection hidden="1"/>
    </xf>
    <xf numFmtId="4" fontId="30" fillId="61" borderId="12" xfId="0" applyNumberFormat="1" applyFont="1" applyFill="1" applyBorder="1" applyAlignment="1" applyProtection="1">
      <alignment horizontal="center" vertical="center"/>
      <protection hidden="1"/>
    </xf>
    <xf numFmtId="0" fontId="11" fillId="61" borderId="0" xfId="0" applyFont="1" applyFill="1"/>
    <xf numFmtId="166" fontId="30" fillId="61" borderId="13" xfId="0" applyNumberFormat="1" applyFont="1" applyFill="1" applyBorder="1" applyAlignment="1" applyProtection="1">
      <alignment horizontal="center" vertical="center"/>
      <protection hidden="1"/>
    </xf>
    <xf numFmtId="0" fontId="84" fillId="61" borderId="13" xfId="0" applyNumberFormat="1" applyFont="1" applyFill="1" applyBorder="1" applyAlignment="1" applyProtection="1">
      <alignment horizontal="center" vertical="center"/>
      <protection hidden="1"/>
    </xf>
    <xf numFmtId="0" fontId="30" fillId="61" borderId="13" xfId="0" applyFont="1" applyFill="1" applyBorder="1" applyAlignment="1" applyProtection="1">
      <alignment horizontal="center" vertical="center" wrapText="1"/>
      <protection hidden="1"/>
    </xf>
    <xf numFmtId="4" fontId="30" fillId="61" borderId="13" xfId="0" applyNumberFormat="1" applyFont="1" applyFill="1" applyBorder="1" applyAlignment="1" applyProtection="1">
      <alignment horizontal="center" vertical="center"/>
      <protection hidden="1"/>
    </xf>
    <xf numFmtId="3" fontId="59" fillId="61" borderId="13" xfId="0" applyNumberFormat="1" applyFont="1" applyFill="1" applyBorder="1" applyAlignment="1" applyProtection="1">
      <alignment horizontal="center" vertical="center"/>
      <protection hidden="1"/>
    </xf>
    <xf numFmtId="3" fontId="30" fillId="61" borderId="11" xfId="0" applyNumberFormat="1" applyFont="1" applyFill="1" applyBorder="1" applyAlignment="1" applyProtection="1">
      <alignment horizontal="center" vertical="center"/>
      <protection hidden="1"/>
    </xf>
    <xf numFmtId="3" fontId="30" fillId="61" borderId="12" xfId="0" applyNumberFormat="1" applyFont="1" applyFill="1" applyBorder="1" applyAlignment="1" applyProtection="1">
      <alignment horizontal="center" vertical="center"/>
      <protection hidden="1"/>
    </xf>
    <xf numFmtId="0" fontId="37" fillId="59" borderId="10" xfId="0" applyNumberFormat="1" applyFont="1" applyFill="1" applyBorder="1" applyAlignment="1" applyProtection="1">
      <alignment horizontal="center" vertical="center"/>
      <protection hidden="1"/>
    </xf>
    <xf numFmtId="166" fontId="30" fillId="0" borderId="20" xfId="0" applyNumberFormat="1" applyFont="1" applyBorder="1" applyAlignment="1" applyProtection="1">
      <alignment horizontal="center" vertical="center"/>
      <protection hidden="1"/>
    </xf>
    <xf numFmtId="0" fontId="84" fillId="0" borderId="20" xfId="0" applyNumberFormat="1" applyFont="1" applyBorder="1" applyAlignment="1" applyProtection="1">
      <alignment horizontal="center" vertical="center"/>
      <protection hidden="1"/>
    </xf>
    <xf numFmtId="4" fontId="30" fillId="0" borderId="20" xfId="0" applyNumberFormat="1" applyFont="1" applyBorder="1" applyAlignment="1" applyProtection="1">
      <alignment horizontal="center" vertical="center"/>
      <protection hidden="1"/>
    </xf>
    <xf numFmtId="166" fontId="30" fillId="55" borderId="30" xfId="0" applyNumberFormat="1" applyFont="1" applyFill="1" applyBorder="1" applyAlignment="1" applyProtection="1">
      <alignment horizontal="center" vertical="center"/>
      <protection hidden="1"/>
    </xf>
    <xf numFmtId="0" fontId="84" fillId="55" borderId="30" xfId="0" applyNumberFormat="1" applyFont="1" applyFill="1" applyBorder="1" applyAlignment="1" applyProtection="1">
      <alignment horizontal="center" vertical="center"/>
      <protection hidden="1"/>
    </xf>
    <xf numFmtId="0" fontId="30" fillId="55" borderId="30" xfId="0" applyFont="1" applyFill="1" applyBorder="1" applyAlignment="1" applyProtection="1">
      <alignment horizontal="center" vertical="center" wrapText="1"/>
      <protection hidden="1"/>
    </xf>
    <xf numFmtId="4" fontId="30" fillId="55" borderId="30" xfId="0" applyNumberFormat="1" applyFont="1" applyFill="1" applyBorder="1" applyAlignment="1" applyProtection="1">
      <alignment horizontal="center" vertical="center"/>
      <protection hidden="1"/>
    </xf>
    <xf numFmtId="3" fontId="59" fillId="55" borderId="30" xfId="0" applyNumberFormat="1" applyFont="1" applyFill="1" applyBorder="1" applyAlignment="1" applyProtection="1">
      <alignment horizontal="center" vertical="center"/>
      <protection hidden="1"/>
    </xf>
    <xf numFmtId="166" fontId="30" fillId="0" borderId="79" xfId="0" applyNumberFormat="1" applyFont="1" applyBorder="1" applyAlignment="1" applyProtection="1">
      <alignment horizontal="center" vertical="center"/>
      <protection hidden="1"/>
    </xf>
    <xf numFmtId="0" fontId="84" fillId="0" borderId="79" xfId="0" applyNumberFormat="1" applyFont="1" applyBorder="1" applyAlignment="1" applyProtection="1">
      <alignment horizontal="center" vertical="center"/>
      <protection hidden="1"/>
    </xf>
    <xf numFmtId="0" fontId="30" fillId="0" borderId="79" xfId="0" applyFont="1" applyFill="1" applyBorder="1" applyAlignment="1" applyProtection="1">
      <alignment horizontal="center" vertical="center" wrapText="1"/>
      <protection hidden="1"/>
    </xf>
    <xf numFmtId="4" fontId="30" fillId="0" borderId="79" xfId="0" applyNumberFormat="1" applyFont="1" applyBorder="1" applyAlignment="1" applyProtection="1">
      <alignment horizontal="center" vertical="center"/>
      <protection hidden="1"/>
    </xf>
    <xf numFmtId="3" fontId="59" fillId="0" borderId="84" xfId="0" applyNumberFormat="1" applyFont="1" applyFill="1" applyBorder="1" applyAlignment="1" applyProtection="1">
      <alignment horizontal="center" vertical="center"/>
      <protection hidden="1"/>
    </xf>
    <xf numFmtId="3" fontId="59" fillId="0" borderId="89" xfId="0" applyNumberFormat="1" applyFont="1" applyFill="1" applyBorder="1" applyAlignment="1" applyProtection="1">
      <alignment horizontal="center" vertical="center"/>
      <protection hidden="1"/>
    </xf>
    <xf numFmtId="3" fontId="59" fillId="0" borderId="86" xfId="0" applyNumberFormat="1" applyFont="1" applyFill="1" applyBorder="1" applyAlignment="1" applyProtection="1">
      <alignment horizontal="center" vertical="center"/>
      <protection hidden="1"/>
    </xf>
    <xf numFmtId="3" fontId="59" fillId="0" borderId="108" xfId="0" applyNumberFormat="1" applyFont="1" applyFill="1" applyBorder="1" applyAlignment="1" applyProtection="1">
      <alignment horizontal="center" vertical="center"/>
      <protection hidden="1"/>
    </xf>
    <xf numFmtId="3" fontId="59" fillId="0" borderId="90" xfId="0" applyNumberFormat="1" applyFont="1" applyFill="1" applyBorder="1" applyAlignment="1" applyProtection="1">
      <alignment horizontal="center" vertical="center"/>
      <protection hidden="1"/>
    </xf>
    <xf numFmtId="3" fontId="30" fillId="0" borderId="115" xfId="0" applyNumberFormat="1" applyFont="1" applyFill="1" applyBorder="1" applyAlignment="1" applyProtection="1">
      <alignment horizontal="center" vertical="center"/>
      <protection hidden="1"/>
    </xf>
    <xf numFmtId="3" fontId="30" fillId="0" borderId="116" xfId="0" applyNumberFormat="1" applyFont="1" applyFill="1" applyBorder="1" applyAlignment="1" applyProtection="1">
      <alignment horizontal="center" vertical="center"/>
      <protection hidden="1"/>
    </xf>
    <xf numFmtId="3" fontId="30" fillId="0" borderId="89" xfId="0" applyNumberFormat="1" applyFont="1" applyFill="1" applyBorder="1" applyAlignment="1" applyProtection="1">
      <alignment horizontal="center" vertical="center"/>
      <protection hidden="1"/>
    </xf>
    <xf numFmtId="3" fontId="30" fillId="0" borderId="108" xfId="0" applyNumberFormat="1" applyFont="1" applyFill="1" applyBorder="1" applyAlignment="1" applyProtection="1">
      <alignment horizontal="center" vertical="center"/>
      <protection hidden="1"/>
    </xf>
    <xf numFmtId="3" fontId="59" fillId="0" borderId="115" xfId="0" applyNumberFormat="1" applyFont="1" applyFill="1" applyBorder="1" applyAlignment="1" applyProtection="1">
      <alignment horizontal="center" vertical="center"/>
      <protection hidden="1"/>
    </xf>
    <xf numFmtId="166" fontId="30" fillId="0" borderId="94" xfId="0" applyNumberFormat="1" applyFont="1" applyFill="1" applyBorder="1" applyAlignment="1" applyProtection="1">
      <alignment horizontal="center" vertical="center"/>
      <protection hidden="1"/>
    </xf>
    <xf numFmtId="0" fontId="33" fillId="0" borderId="103" xfId="0" applyFont="1" applyFill="1" applyBorder="1" applyAlignment="1" applyProtection="1">
      <alignment vertical="center" wrapText="1"/>
      <protection hidden="1"/>
    </xf>
    <xf numFmtId="0" fontId="29" fillId="46" borderId="25" xfId="0" applyFont="1" applyFill="1" applyBorder="1" applyAlignment="1" applyProtection="1">
      <alignment horizontal="left" vertical="center" wrapText="1"/>
      <protection hidden="1"/>
    </xf>
    <xf numFmtId="0" fontId="29" fillId="46" borderId="38" xfId="0" applyFont="1" applyFill="1" applyBorder="1" applyAlignment="1" applyProtection="1">
      <alignment horizontal="left" vertical="center" wrapText="1"/>
      <protection hidden="1"/>
    </xf>
    <xf numFmtId="166" fontId="108" fillId="62" borderId="101" xfId="0" applyNumberFormat="1" applyFont="1" applyFill="1" applyBorder="1" applyAlignment="1" applyProtection="1">
      <alignment horizontal="center" vertical="center"/>
      <protection hidden="1"/>
    </xf>
    <xf numFmtId="0" fontId="110" fillId="62" borderId="10" xfId="0" applyFont="1" applyFill="1" applyBorder="1" applyAlignment="1" applyProtection="1">
      <alignment horizontal="center" vertical="center"/>
      <protection hidden="1"/>
    </xf>
    <xf numFmtId="2" fontId="110" fillId="62" borderId="10" xfId="0" applyNumberFormat="1" applyFont="1" applyFill="1" applyBorder="1" applyAlignment="1" applyProtection="1">
      <alignment horizontal="center" vertical="center"/>
      <protection hidden="1"/>
    </xf>
    <xf numFmtId="1" fontId="110" fillId="62" borderId="10" xfId="0" applyNumberFormat="1" applyFont="1" applyFill="1" applyBorder="1" applyAlignment="1" applyProtection="1">
      <alignment horizontal="center" vertical="center"/>
      <protection hidden="1"/>
    </xf>
    <xf numFmtId="1" fontId="108" fillId="62" borderId="97" xfId="0" applyNumberFormat="1" applyFont="1" applyFill="1" applyBorder="1" applyAlignment="1" applyProtection="1">
      <alignment horizontal="center" vertical="center" wrapText="1"/>
      <protection hidden="1"/>
    </xf>
    <xf numFmtId="166" fontId="108" fillId="63" borderId="101" xfId="0" applyNumberFormat="1" applyFont="1" applyFill="1" applyBorder="1" applyAlignment="1" applyProtection="1">
      <alignment horizontal="center" vertical="center"/>
      <protection hidden="1"/>
    </xf>
    <xf numFmtId="0" fontId="110" fillId="63" borderId="10" xfId="0" applyFont="1" applyFill="1" applyBorder="1" applyAlignment="1" applyProtection="1">
      <alignment horizontal="center" vertical="center"/>
      <protection hidden="1"/>
    </xf>
    <xf numFmtId="2" fontId="110" fillId="63" borderId="10" xfId="0" applyNumberFormat="1" applyFont="1" applyFill="1" applyBorder="1" applyAlignment="1" applyProtection="1">
      <alignment horizontal="center" vertical="center"/>
      <protection hidden="1"/>
    </xf>
    <xf numFmtId="1" fontId="110" fillId="63" borderId="10" xfId="0" applyNumberFormat="1" applyFont="1" applyFill="1" applyBorder="1" applyAlignment="1" applyProtection="1">
      <alignment horizontal="center" vertical="center"/>
      <protection hidden="1"/>
    </xf>
    <xf numFmtId="0" fontId="109" fillId="63" borderId="10" xfId="0" applyNumberFormat="1" applyFont="1" applyFill="1" applyBorder="1" applyAlignment="1" applyProtection="1">
      <alignment horizontal="center" vertical="center" wrapText="1"/>
      <protection hidden="1"/>
    </xf>
    <xf numFmtId="1" fontId="108" fillId="63" borderId="97" xfId="0" applyNumberFormat="1" applyFont="1" applyFill="1" applyBorder="1" applyAlignment="1" applyProtection="1">
      <alignment horizontal="center" vertical="center" wrapText="1"/>
      <protection hidden="1"/>
    </xf>
    <xf numFmtId="1" fontId="109" fillId="63" borderId="10" xfId="0" applyNumberFormat="1" applyFont="1" applyFill="1" applyBorder="1" applyAlignment="1" applyProtection="1">
      <alignment horizontal="center" vertical="center" wrapText="1"/>
      <protection hidden="1"/>
    </xf>
    <xf numFmtId="0" fontId="108" fillId="59" borderId="62" xfId="0" applyFont="1" applyFill="1" applyBorder="1" applyAlignment="1" applyProtection="1">
      <alignment horizontal="center" vertical="center"/>
      <protection hidden="1"/>
    </xf>
    <xf numFmtId="1" fontId="111" fillId="59" borderId="62" xfId="0" applyNumberFormat="1" applyFont="1" applyFill="1" applyBorder="1" applyAlignment="1" applyProtection="1">
      <alignment horizontal="center" vertical="center" wrapText="1"/>
      <protection hidden="1"/>
    </xf>
    <xf numFmtId="1" fontId="113" fillId="59" borderId="96" xfId="0" applyNumberFormat="1" applyFont="1" applyFill="1" applyBorder="1" applyAlignment="1" applyProtection="1">
      <alignment horizontal="center" vertical="center" wrapText="1"/>
      <protection hidden="1"/>
    </xf>
    <xf numFmtId="1" fontId="109" fillId="62" borderId="10" xfId="0" applyNumberFormat="1" applyFont="1" applyFill="1" applyBorder="1" applyAlignment="1" applyProtection="1">
      <alignment horizontal="center" vertical="center" wrapText="1"/>
      <protection hidden="1"/>
    </xf>
    <xf numFmtId="0" fontId="68" fillId="0" borderId="15" xfId="0" applyFont="1" applyBorder="1" applyAlignment="1">
      <alignment horizontal="center"/>
    </xf>
    <xf numFmtId="0" fontId="108" fillId="62" borderId="101" xfId="0" applyFont="1" applyFill="1" applyBorder="1" applyAlignment="1" applyProtection="1">
      <alignment horizontal="left" vertical="center" wrapText="1" indent="1"/>
      <protection hidden="1"/>
    </xf>
    <xf numFmtId="0" fontId="37" fillId="62" borderId="10" xfId="0" applyFont="1" applyFill="1" applyBorder="1" applyAlignment="1" applyProtection="1">
      <alignment horizontal="center" vertical="center" wrapText="1"/>
      <protection hidden="1"/>
    </xf>
    <xf numFmtId="166" fontId="108" fillId="62" borderId="10" xfId="0" applyNumberFormat="1" applyFont="1" applyFill="1" applyBorder="1" applyAlignment="1" applyProtection="1">
      <alignment horizontal="left" vertical="center" indent="2"/>
      <protection hidden="1"/>
    </xf>
    <xf numFmtId="4" fontId="37" fillId="62" borderId="10" xfId="0" applyNumberFormat="1" applyFont="1" applyFill="1" applyBorder="1" applyAlignment="1" applyProtection="1">
      <alignment horizontal="center" vertical="center"/>
      <protection hidden="1"/>
    </xf>
    <xf numFmtId="3" fontId="113" fillId="62" borderId="97" xfId="0" applyNumberFormat="1" applyFont="1" applyFill="1" applyBorder="1" applyAlignment="1" applyProtection="1">
      <alignment horizontal="center" vertical="center"/>
      <protection hidden="1"/>
    </xf>
    <xf numFmtId="1" fontId="111" fillId="62" borderId="10" xfId="0" applyNumberFormat="1" applyFont="1" applyFill="1" applyBorder="1" applyAlignment="1" applyProtection="1">
      <alignment horizontal="center" vertical="center" wrapText="1"/>
      <protection hidden="1"/>
    </xf>
    <xf numFmtId="1" fontId="113" fillId="62" borderId="97" xfId="0" applyNumberFormat="1" applyFont="1" applyFill="1" applyBorder="1" applyAlignment="1" applyProtection="1">
      <alignment horizontal="center" vertical="center" wrapText="1"/>
      <protection hidden="1"/>
    </xf>
    <xf numFmtId="1" fontId="30" fillId="64" borderId="89" xfId="0" applyNumberFormat="1" applyFont="1" applyFill="1" applyBorder="1" applyAlignment="1" applyProtection="1">
      <alignment horizontal="center" vertical="center" wrapText="1"/>
      <protection hidden="1"/>
    </xf>
    <xf numFmtId="1" fontId="30" fillId="64" borderId="108" xfId="0" applyNumberFormat="1" applyFont="1" applyFill="1" applyBorder="1" applyAlignment="1" applyProtection="1">
      <alignment horizontal="center" vertical="center" wrapText="1"/>
      <protection hidden="1"/>
    </xf>
    <xf numFmtId="1" fontId="30" fillId="64" borderId="90" xfId="0" applyNumberFormat="1" applyFont="1" applyFill="1" applyBorder="1" applyAlignment="1" applyProtection="1">
      <alignment horizontal="center" vertical="center" wrapText="1"/>
      <protection hidden="1"/>
    </xf>
    <xf numFmtId="1" fontId="30" fillId="64" borderId="86" xfId="0" applyNumberFormat="1" applyFont="1" applyFill="1" applyBorder="1" applyAlignment="1" applyProtection="1">
      <alignment horizontal="center" vertical="center" wrapText="1"/>
      <protection hidden="1"/>
    </xf>
    <xf numFmtId="1" fontId="30" fillId="64" borderId="95" xfId="0" applyNumberFormat="1" applyFont="1" applyFill="1" applyBorder="1" applyAlignment="1" applyProtection="1">
      <alignment horizontal="center" vertical="center" wrapText="1"/>
      <protection hidden="1"/>
    </xf>
    <xf numFmtId="1" fontId="34" fillId="64" borderId="84" xfId="0" applyNumberFormat="1" applyFont="1" applyFill="1" applyBorder="1" applyAlignment="1" applyProtection="1">
      <alignment horizontal="center" vertical="center" wrapText="1"/>
      <protection hidden="1"/>
    </xf>
    <xf numFmtId="1" fontId="34" fillId="64" borderId="108" xfId="0" applyNumberFormat="1" applyFont="1" applyFill="1" applyBorder="1" applyAlignment="1" applyProtection="1">
      <alignment horizontal="center" vertical="center" wrapText="1"/>
      <protection hidden="1"/>
    </xf>
    <xf numFmtId="1" fontId="34" fillId="64" borderId="89" xfId="0" applyNumberFormat="1" applyFont="1" applyFill="1" applyBorder="1" applyAlignment="1" applyProtection="1">
      <alignment horizontal="center" vertical="center" wrapText="1"/>
      <protection hidden="1"/>
    </xf>
    <xf numFmtId="1" fontId="34" fillId="64" borderId="86" xfId="0" applyNumberFormat="1" applyFont="1" applyFill="1" applyBorder="1" applyAlignment="1" applyProtection="1">
      <alignment horizontal="center" vertical="center" wrapText="1"/>
      <protection hidden="1"/>
    </xf>
    <xf numFmtId="1" fontId="34" fillId="64" borderId="95" xfId="0" applyNumberFormat="1" applyFont="1" applyFill="1" applyBorder="1" applyAlignment="1" applyProtection="1">
      <alignment horizontal="center" vertical="center" wrapText="1"/>
      <protection hidden="1"/>
    </xf>
    <xf numFmtId="1" fontId="34" fillId="64" borderId="90" xfId="0" applyNumberFormat="1" applyFont="1" applyFill="1" applyBorder="1" applyAlignment="1" applyProtection="1">
      <alignment horizontal="center" vertical="center" wrapText="1"/>
      <protection hidden="1"/>
    </xf>
    <xf numFmtId="1" fontId="107" fillId="64" borderId="14" xfId="0" applyNumberFormat="1" applyFont="1" applyFill="1" applyBorder="1" applyAlignment="1" applyProtection="1">
      <alignment horizontal="center" vertical="center" wrapText="1"/>
      <protection hidden="1"/>
    </xf>
    <xf numFmtId="1" fontId="107" fillId="64" borderId="12" xfId="0" applyNumberFormat="1" applyFont="1" applyFill="1" applyBorder="1" applyAlignment="1" applyProtection="1">
      <alignment horizontal="center" vertical="center" wrapText="1"/>
      <protection hidden="1"/>
    </xf>
    <xf numFmtId="1" fontId="107" fillId="64" borderId="30" xfId="0" applyNumberFormat="1" applyFont="1" applyFill="1" applyBorder="1" applyAlignment="1" applyProtection="1">
      <alignment horizontal="center" vertical="center" wrapText="1"/>
      <protection hidden="1"/>
    </xf>
    <xf numFmtId="1" fontId="107" fillId="64" borderId="94" xfId="0" applyNumberFormat="1" applyFont="1" applyFill="1" applyBorder="1" applyAlignment="1" applyProtection="1">
      <alignment horizontal="center" vertical="center" wrapText="1"/>
      <protection hidden="1"/>
    </xf>
    <xf numFmtId="1" fontId="107" fillId="64" borderId="20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79" xfId="0" applyFont="1" applyBorder="1" applyAlignment="1" applyProtection="1">
      <alignment horizontal="center" vertical="center"/>
      <protection hidden="1"/>
    </xf>
    <xf numFmtId="1" fontId="107" fillId="64" borderId="79" xfId="0" applyNumberFormat="1" applyFont="1" applyFill="1" applyBorder="1" applyAlignment="1" applyProtection="1">
      <alignment horizontal="center" vertical="center" wrapText="1"/>
      <protection hidden="1"/>
    </xf>
    <xf numFmtId="1" fontId="33" fillId="59" borderId="84" xfId="0" applyNumberFormat="1" applyFont="1" applyFill="1" applyBorder="1" applyAlignment="1" applyProtection="1">
      <alignment horizontal="center" vertical="center" wrapText="1"/>
      <protection hidden="1"/>
    </xf>
    <xf numFmtId="1" fontId="33" fillId="59" borderId="95" xfId="0" applyNumberFormat="1" applyFont="1" applyFill="1" applyBorder="1" applyAlignment="1" applyProtection="1">
      <alignment horizontal="center" vertical="center" wrapText="1"/>
      <protection hidden="1"/>
    </xf>
    <xf numFmtId="1" fontId="96" fillId="0" borderId="79" xfId="0" applyNumberFormat="1" applyFont="1" applyBorder="1" applyAlignment="1" applyProtection="1">
      <alignment horizontal="center" vertical="center"/>
      <protection hidden="1"/>
    </xf>
    <xf numFmtId="166" fontId="30" fillId="0" borderId="94" xfId="0" applyNumberFormat="1" applyFont="1" applyBorder="1" applyAlignment="1" applyProtection="1">
      <alignment horizontal="center" vertical="center"/>
      <protection hidden="1"/>
    </xf>
    <xf numFmtId="1" fontId="95" fillId="0" borderId="27" xfId="0" applyNumberFormat="1" applyFont="1" applyBorder="1" applyAlignment="1" applyProtection="1">
      <alignment horizontal="center" vertical="center"/>
      <protection hidden="1"/>
    </xf>
    <xf numFmtId="1" fontId="96" fillId="0" borderId="27" xfId="0" applyNumberFormat="1" applyFont="1" applyBorder="1" applyAlignment="1" applyProtection="1">
      <alignment horizontal="center" vertical="center"/>
      <protection hidden="1"/>
    </xf>
    <xf numFmtId="2" fontId="95" fillId="0" borderId="27" xfId="0" applyNumberFormat="1" applyFont="1" applyBorder="1" applyAlignment="1" applyProtection="1">
      <alignment horizontal="center" vertical="center"/>
      <protection hidden="1"/>
    </xf>
    <xf numFmtId="0" fontId="107" fillId="0" borderId="94" xfId="0" applyFont="1" applyFill="1" applyBorder="1" applyAlignment="1" applyProtection="1">
      <alignment horizontal="center" vertical="center" wrapText="1"/>
      <protection hidden="1"/>
    </xf>
    <xf numFmtId="1" fontId="34" fillId="63" borderId="24" xfId="0" applyNumberFormat="1" applyFont="1" applyFill="1" applyBorder="1" applyAlignment="1" applyProtection="1">
      <alignment horizontal="center" vertical="center" wrapText="1"/>
      <protection hidden="1"/>
    </xf>
    <xf numFmtId="1" fontId="30" fillId="63" borderId="12" xfId="0" applyNumberFormat="1" applyFont="1" applyFill="1" applyBorder="1" applyAlignment="1" applyProtection="1">
      <alignment horizontal="center" vertical="center" wrapText="1"/>
      <protection hidden="1"/>
    </xf>
    <xf numFmtId="3" fontId="107" fillId="63" borderId="12" xfId="0" applyNumberFormat="1" applyFont="1" applyFill="1" applyBorder="1" applyAlignment="1" applyProtection="1">
      <alignment horizontal="center" vertical="center" wrapText="1"/>
      <protection hidden="1"/>
    </xf>
    <xf numFmtId="0" fontId="114" fillId="0" borderId="0" xfId="0" applyFont="1"/>
    <xf numFmtId="0" fontId="115" fillId="0" borderId="0" xfId="0" applyFont="1"/>
    <xf numFmtId="0" fontId="115" fillId="0" borderId="0" xfId="0" applyFont="1" applyAlignment="1">
      <alignment vertical="top"/>
    </xf>
    <xf numFmtId="0" fontId="30" fillId="0" borderId="17" xfId="0" applyNumberFormat="1" applyFont="1" applyBorder="1" applyAlignment="1" applyProtection="1">
      <alignment horizontal="center" vertical="center" wrapText="1"/>
      <protection hidden="1"/>
    </xf>
    <xf numFmtId="0" fontId="30" fillId="0" borderId="20" xfId="0" applyNumberFormat="1" applyFont="1" applyBorder="1" applyAlignment="1" applyProtection="1">
      <alignment horizontal="center" vertical="center" wrapText="1"/>
      <protection hidden="1"/>
    </xf>
    <xf numFmtId="0" fontId="3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15" xfId="0" applyNumberFormat="1" applyFont="1" applyBorder="1" applyAlignment="1" applyProtection="1">
      <alignment horizontal="center" vertical="center" wrapText="1"/>
      <protection hidden="1"/>
    </xf>
    <xf numFmtId="0" fontId="30" fillId="0" borderId="17" xfId="0" applyFont="1" applyBorder="1" applyAlignment="1" applyProtection="1">
      <alignment horizontal="center" vertical="center" wrapText="1"/>
      <protection hidden="1"/>
    </xf>
    <xf numFmtId="3" fontId="113" fillId="59" borderId="118" xfId="0" applyNumberFormat="1" applyFont="1" applyFill="1" applyBorder="1" applyAlignment="1" applyProtection="1">
      <alignment horizontal="center" vertical="center"/>
      <protection hidden="1"/>
    </xf>
    <xf numFmtId="3" fontId="113" fillId="59" borderId="88" xfId="0" applyNumberFormat="1" applyFont="1" applyFill="1" applyBorder="1" applyAlignment="1" applyProtection="1">
      <alignment horizontal="center" vertical="center"/>
      <protection hidden="1"/>
    </xf>
    <xf numFmtId="0" fontId="30" fillId="0" borderId="29" xfId="0" applyNumberFormat="1" applyFont="1" applyBorder="1" applyAlignment="1" applyProtection="1">
      <alignment horizontal="center" vertical="center" wrapText="1"/>
      <protection hidden="1"/>
    </xf>
    <xf numFmtId="0" fontId="30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20" xfId="0" applyFont="1" applyFill="1" applyBorder="1" applyAlignment="1" applyProtection="1">
      <alignment horizontal="center" vertical="center" wrapText="1"/>
      <protection hidden="1"/>
    </xf>
    <xf numFmtId="4" fontId="30" fillId="0" borderId="17" xfId="0" applyNumberFormat="1" applyFont="1" applyFill="1" applyBorder="1" applyAlignment="1" applyProtection="1">
      <alignment horizontal="center" vertical="center"/>
      <protection hidden="1"/>
    </xf>
    <xf numFmtId="9" fontId="98" fillId="0" borderId="10" xfId="374" applyFont="1" applyBorder="1" applyAlignment="1">
      <alignment vertical="center"/>
    </xf>
    <xf numFmtId="166" fontId="108" fillId="62" borderId="10" xfId="0" applyNumberFormat="1" applyFont="1" applyFill="1" applyBorder="1" applyAlignment="1" applyProtection="1">
      <alignment horizontal="center" vertical="center"/>
      <protection hidden="1"/>
    </xf>
    <xf numFmtId="0" fontId="37" fillId="62" borderId="10" xfId="0" applyNumberFormat="1" applyFont="1" applyFill="1" applyBorder="1" applyAlignment="1" applyProtection="1">
      <alignment horizontal="center" vertical="center"/>
      <protection hidden="1"/>
    </xf>
    <xf numFmtId="3" fontId="113" fillId="62" borderId="90" xfId="0" applyNumberFormat="1" applyFont="1" applyFill="1" applyBorder="1" applyAlignment="1" applyProtection="1">
      <alignment horizontal="center" vertical="center"/>
      <protection hidden="1"/>
    </xf>
    <xf numFmtId="0" fontId="37" fillId="62" borderId="20" xfId="0" applyNumberFormat="1" applyFont="1" applyFill="1" applyBorder="1" applyAlignment="1" applyProtection="1">
      <alignment horizontal="center" vertical="center"/>
      <protection hidden="1"/>
    </xf>
    <xf numFmtId="0" fontId="37" fillId="62" borderId="20" xfId="0" applyFont="1" applyFill="1" applyBorder="1" applyAlignment="1" applyProtection="1">
      <alignment horizontal="center" vertical="center" wrapText="1"/>
      <protection hidden="1"/>
    </xf>
    <xf numFmtId="4" fontId="37" fillId="62" borderId="20" xfId="0" applyNumberFormat="1" applyFont="1" applyFill="1" applyBorder="1" applyAlignment="1" applyProtection="1">
      <alignment horizontal="center" vertical="center"/>
      <protection hidden="1"/>
    </xf>
    <xf numFmtId="166" fontId="108" fillId="62" borderId="20" xfId="0" applyNumberFormat="1" applyFont="1" applyFill="1" applyBorder="1" applyAlignment="1" applyProtection="1">
      <alignment horizontal="center" vertical="center"/>
      <protection hidden="1"/>
    </xf>
    <xf numFmtId="0" fontId="30" fillId="62" borderId="10" xfId="0" applyNumberFormat="1" applyFont="1" applyFill="1" applyBorder="1" applyAlignment="1" applyProtection="1">
      <alignment horizontal="center" vertical="center" wrapText="1"/>
      <protection hidden="1"/>
    </xf>
    <xf numFmtId="0" fontId="30" fillId="59" borderId="10" xfId="0" applyNumberFormat="1" applyFont="1" applyFill="1" applyBorder="1" applyAlignment="1" applyProtection="1">
      <alignment horizontal="center" vertical="center" wrapText="1"/>
      <protection hidden="1"/>
    </xf>
    <xf numFmtId="166" fontId="108" fillId="59" borderId="29" xfId="0" applyNumberFormat="1" applyFont="1" applyFill="1" applyBorder="1" applyAlignment="1" applyProtection="1">
      <alignment horizontal="left" vertical="center" indent="2"/>
      <protection hidden="1"/>
    </xf>
    <xf numFmtId="0" fontId="37" fillId="59" borderId="29" xfId="0" applyFont="1" applyFill="1" applyBorder="1" applyAlignment="1" applyProtection="1">
      <alignment horizontal="center" vertical="center" wrapText="1"/>
      <protection hidden="1"/>
    </xf>
    <xf numFmtId="4" fontId="37" fillId="59" borderId="29" xfId="0" applyNumberFormat="1" applyFont="1" applyFill="1" applyBorder="1" applyAlignment="1" applyProtection="1">
      <alignment horizontal="center" vertical="center"/>
      <protection hidden="1"/>
    </xf>
    <xf numFmtId="3" fontId="30" fillId="59" borderId="29" xfId="0" applyNumberFormat="1" applyFont="1" applyFill="1" applyBorder="1" applyAlignment="1" applyProtection="1">
      <alignment horizontal="center" vertical="center"/>
      <protection hidden="1"/>
    </xf>
    <xf numFmtId="166" fontId="108" fillId="59" borderId="27" xfId="0" applyNumberFormat="1" applyFont="1" applyFill="1" applyBorder="1" applyAlignment="1" applyProtection="1">
      <alignment horizontal="left" vertical="center" indent="2"/>
      <protection hidden="1"/>
    </xf>
    <xf numFmtId="0" fontId="37" fillId="59" borderId="27" xfId="0" applyFont="1" applyFill="1" applyBorder="1" applyAlignment="1" applyProtection="1">
      <alignment horizontal="center" vertical="center" wrapText="1"/>
      <protection hidden="1"/>
    </xf>
    <xf numFmtId="4" fontId="37" fillId="59" borderId="27" xfId="0" applyNumberFormat="1" applyFont="1" applyFill="1" applyBorder="1" applyAlignment="1" applyProtection="1">
      <alignment horizontal="center" vertical="center"/>
      <protection hidden="1"/>
    </xf>
    <xf numFmtId="3" fontId="30" fillId="62" borderId="10" xfId="0" applyNumberFormat="1" applyFont="1" applyFill="1" applyBorder="1" applyAlignment="1" applyProtection="1">
      <alignment horizontal="center" vertical="center"/>
      <protection hidden="1"/>
    </xf>
    <xf numFmtId="3" fontId="30" fillId="59" borderId="27" xfId="0" applyNumberFormat="1" applyFont="1" applyFill="1" applyBorder="1" applyAlignment="1" applyProtection="1">
      <alignment horizontal="center" vertical="center"/>
      <protection hidden="1"/>
    </xf>
    <xf numFmtId="166" fontId="108" fillId="62" borderId="27" xfId="0" applyNumberFormat="1" applyFont="1" applyFill="1" applyBorder="1" applyAlignment="1" applyProtection="1">
      <alignment horizontal="center" vertical="center"/>
      <protection hidden="1"/>
    </xf>
    <xf numFmtId="0" fontId="37" fillId="62" borderId="27" xfId="0" applyNumberFormat="1" applyFont="1" applyFill="1" applyBorder="1" applyAlignment="1" applyProtection="1">
      <alignment horizontal="center" vertical="center"/>
      <protection hidden="1"/>
    </xf>
    <xf numFmtId="0" fontId="37" fillId="62" borderId="27" xfId="0" applyFont="1" applyFill="1" applyBorder="1" applyAlignment="1" applyProtection="1">
      <alignment horizontal="center" vertical="center" wrapText="1"/>
      <protection hidden="1"/>
    </xf>
    <xf numFmtId="2" fontId="37" fillId="62" borderId="27" xfId="0" applyNumberFormat="1" applyFont="1" applyFill="1" applyBorder="1" applyAlignment="1" applyProtection="1">
      <alignment horizontal="center" vertical="center" wrapText="1"/>
      <protection hidden="1"/>
    </xf>
    <xf numFmtId="0" fontId="30" fillId="62" borderId="27" xfId="0" applyNumberFormat="1" applyFont="1" applyFill="1" applyBorder="1" applyAlignment="1" applyProtection="1">
      <alignment horizontal="center" vertical="center" wrapText="1"/>
      <protection hidden="1"/>
    </xf>
    <xf numFmtId="3" fontId="113" fillId="62" borderId="88" xfId="0" applyNumberFormat="1" applyFont="1" applyFill="1" applyBorder="1" applyAlignment="1" applyProtection="1">
      <alignment horizontal="center" vertical="center"/>
      <protection hidden="1"/>
    </xf>
    <xf numFmtId="2" fontId="30" fillId="0" borderId="17" xfId="0" applyNumberFormat="1" applyFont="1" applyBorder="1" applyAlignment="1" applyProtection="1">
      <alignment horizontal="center" vertical="center" wrapText="1"/>
      <protection hidden="1"/>
    </xf>
    <xf numFmtId="3" fontId="59" fillId="0" borderId="20" xfId="0" applyNumberFormat="1" applyFont="1" applyFill="1" applyBorder="1" applyAlignment="1" applyProtection="1">
      <alignment horizontal="center" vertical="center"/>
      <protection hidden="1"/>
    </xf>
    <xf numFmtId="0" fontId="30" fillId="46" borderId="15" xfId="0" applyFont="1" applyFill="1" applyBorder="1" applyAlignment="1" applyProtection="1">
      <alignment horizontal="center" vertical="center"/>
      <protection hidden="1"/>
    </xf>
    <xf numFmtId="0" fontId="30" fillId="60" borderId="125" xfId="0" applyFont="1" applyFill="1" applyBorder="1" applyAlignment="1" applyProtection="1">
      <alignment horizontal="center" vertical="center" wrapText="1"/>
      <protection hidden="1"/>
    </xf>
    <xf numFmtId="4" fontId="30" fillId="59" borderId="125" xfId="0" applyNumberFormat="1" applyFont="1" applyFill="1" applyBorder="1" applyAlignment="1" applyProtection="1">
      <alignment horizontal="center" vertical="center"/>
      <protection hidden="1"/>
    </xf>
    <xf numFmtId="0" fontId="30" fillId="59" borderId="125" xfId="0" applyNumberFormat="1" applyFont="1" applyFill="1" applyBorder="1" applyAlignment="1" applyProtection="1">
      <alignment horizontal="center" vertical="center" wrapText="1"/>
      <protection hidden="1"/>
    </xf>
    <xf numFmtId="3" fontId="113" fillId="59" borderId="128" xfId="0" applyNumberFormat="1" applyFont="1" applyFill="1" applyBorder="1" applyAlignment="1" applyProtection="1">
      <alignment horizontal="center" vertical="center"/>
      <protection hidden="1"/>
    </xf>
    <xf numFmtId="0" fontId="30" fillId="59" borderId="62" xfId="0" applyFont="1" applyFill="1" applyBorder="1" applyAlignment="1" applyProtection="1">
      <alignment horizontal="center" vertical="center" wrapText="1"/>
      <protection hidden="1"/>
    </xf>
    <xf numFmtId="0" fontId="30" fillId="62" borderId="10" xfId="0" applyFont="1" applyFill="1" applyBorder="1" applyAlignment="1" applyProtection="1">
      <alignment horizontal="center" vertical="center" wrapText="1"/>
      <protection hidden="1"/>
    </xf>
    <xf numFmtId="0" fontId="30" fillId="59" borderId="26" xfId="0" applyFont="1" applyFill="1" applyBorder="1" applyAlignment="1" applyProtection="1">
      <alignment horizontal="center" vertical="center" wrapText="1"/>
      <protection hidden="1"/>
    </xf>
    <xf numFmtId="166" fontId="30" fillId="64" borderId="14" xfId="0" applyNumberFormat="1" applyFont="1" applyFill="1" applyBorder="1" applyAlignment="1" applyProtection="1">
      <alignment horizontal="left" vertical="center" indent="2"/>
      <protection hidden="1"/>
    </xf>
    <xf numFmtId="1" fontId="30" fillId="64" borderId="14" xfId="0" applyNumberFormat="1" applyFont="1" applyFill="1" applyBorder="1" applyAlignment="1" applyProtection="1">
      <alignment horizontal="center" vertical="center"/>
      <protection hidden="1"/>
    </xf>
    <xf numFmtId="4" fontId="30" fillId="64" borderId="14" xfId="0" applyNumberFormat="1" applyFont="1" applyFill="1" applyBorder="1" applyAlignment="1" applyProtection="1">
      <alignment horizontal="center" vertical="center"/>
      <protection hidden="1"/>
    </xf>
    <xf numFmtId="3" fontId="34" fillId="64" borderId="14" xfId="0" applyNumberFormat="1" applyFont="1" applyFill="1" applyBorder="1" applyAlignment="1" applyProtection="1">
      <alignment horizontal="center" vertical="center"/>
      <protection hidden="1"/>
    </xf>
    <xf numFmtId="166" fontId="30" fillId="64" borderId="13" xfId="0" applyNumberFormat="1" applyFont="1" applyFill="1" applyBorder="1" applyAlignment="1" applyProtection="1">
      <alignment horizontal="left" vertical="center" indent="2"/>
      <protection hidden="1"/>
    </xf>
    <xf numFmtId="0" fontId="30" fillId="64" borderId="20" xfId="0" applyFont="1" applyFill="1" applyBorder="1" applyAlignment="1" applyProtection="1">
      <alignment horizontal="center" vertical="center" wrapText="1"/>
      <protection hidden="1"/>
    </xf>
    <xf numFmtId="4" fontId="30" fillId="64" borderId="20" xfId="0" applyNumberFormat="1" applyFont="1" applyFill="1" applyBorder="1" applyAlignment="1" applyProtection="1">
      <alignment horizontal="center" vertical="center"/>
      <protection hidden="1"/>
    </xf>
    <xf numFmtId="3" fontId="34" fillId="64" borderId="20" xfId="0" applyNumberFormat="1" applyFont="1" applyFill="1" applyBorder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vertical="center" wrapText="1"/>
      <protection hidden="1"/>
    </xf>
    <xf numFmtId="0" fontId="30" fillId="0" borderId="120" xfId="0" applyFont="1" applyBorder="1" applyAlignment="1" applyProtection="1">
      <alignment vertical="center" wrapText="1"/>
      <protection hidden="1"/>
    </xf>
    <xf numFmtId="0" fontId="116" fillId="0" borderId="16" xfId="356" applyFont="1" applyBorder="1" applyAlignment="1" applyProtection="1">
      <alignment horizontal="center" wrapText="1"/>
      <protection hidden="1"/>
    </xf>
    <xf numFmtId="0" fontId="83" fillId="0" borderId="16" xfId="356" applyFont="1" applyBorder="1" applyAlignment="1" applyProtection="1">
      <alignment horizontal="center" wrapText="1"/>
      <protection hidden="1"/>
    </xf>
    <xf numFmtId="0" fontId="29" fillId="52" borderId="17" xfId="0" applyFont="1" applyFill="1" applyBorder="1" applyAlignment="1" applyProtection="1">
      <alignment horizontal="center" vertical="center" wrapText="1"/>
      <protection hidden="1"/>
    </xf>
    <xf numFmtId="0" fontId="29" fillId="52" borderId="20" xfId="0" applyFont="1" applyFill="1" applyBorder="1" applyAlignment="1" applyProtection="1">
      <alignment horizontal="center" vertical="center" wrapText="1"/>
      <protection hidden="1"/>
    </xf>
    <xf numFmtId="0" fontId="41" fillId="0" borderId="0" xfId="0" applyFont="1" applyFill="1" applyBorder="1" applyAlignment="1" applyProtection="1">
      <alignment horizontal="center" vertical="center" wrapText="1"/>
      <protection hidden="1"/>
    </xf>
    <xf numFmtId="0" fontId="29" fillId="52" borderId="21" xfId="0" applyFont="1" applyFill="1" applyBorder="1" applyAlignment="1" applyProtection="1">
      <alignment horizontal="center" vertical="center"/>
      <protection hidden="1"/>
    </xf>
    <xf numFmtId="0" fontId="29" fillId="52" borderId="22" xfId="0" applyFont="1" applyFill="1" applyBorder="1" applyAlignment="1" applyProtection="1">
      <alignment horizontal="center" vertical="center"/>
      <protection hidden="1"/>
    </xf>
    <xf numFmtId="0" fontId="29" fillId="52" borderId="23" xfId="0" applyFont="1" applyFill="1" applyBorder="1" applyAlignment="1" applyProtection="1">
      <alignment horizontal="center" vertical="center"/>
      <protection hidden="1"/>
    </xf>
    <xf numFmtId="0" fontId="29" fillId="52" borderId="24" xfId="0" applyFont="1" applyFill="1" applyBorder="1" applyAlignment="1" applyProtection="1">
      <alignment horizontal="center" vertical="center"/>
      <protection hidden="1"/>
    </xf>
    <xf numFmtId="0" fontId="29" fillId="52" borderId="10" xfId="0" applyFont="1" applyFill="1" applyBorder="1" applyAlignment="1" applyProtection="1">
      <alignment horizontal="center" vertical="center" wrapText="1"/>
      <protection hidden="1"/>
    </xf>
    <xf numFmtId="0" fontId="68" fillId="0" borderId="105" xfId="0" applyFont="1" applyBorder="1" applyAlignment="1">
      <alignment horizontal="center"/>
    </xf>
    <xf numFmtId="0" fontId="68" fillId="0" borderId="106" xfId="0" applyFont="1" applyBorder="1" applyAlignment="1">
      <alignment horizontal="center"/>
    </xf>
    <xf numFmtId="0" fontId="68" fillId="0" borderId="107" xfId="0" applyFont="1" applyBorder="1" applyAlignment="1">
      <alignment horizontal="center"/>
    </xf>
    <xf numFmtId="0" fontId="29" fillId="64" borderId="83" xfId="0" applyFont="1" applyFill="1" applyBorder="1" applyAlignment="1" applyProtection="1">
      <alignment horizontal="center" vertical="center" wrapText="1"/>
      <protection hidden="1"/>
    </xf>
    <xf numFmtId="0" fontId="29" fillId="64" borderId="60" xfId="0" applyFont="1" applyFill="1" applyBorder="1" applyAlignment="1" applyProtection="1">
      <alignment horizontal="center" vertical="center" wrapText="1"/>
      <protection hidden="1"/>
    </xf>
    <xf numFmtId="0" fontId="29" fillId="64" borderId="85" xfId="0" applyFont="1" applyFill="1" applyBorder="1" applyAlignment="1" applyProtection="1">
      <alignment horizontal="center" vertical="center" wrapText="1"/>
      <protection hidden="1"/>
    </xf>
    <xf numFmtId="0" fontId="29" fillId="64" borderId="0" xfId="0" applyFont="1" applyFill="1" applyBorder="1" applyAlignment="1" applyProtection="1">
      <alignment horizontal="center" vertical="center" wrapText="1"/>
      <protection hidden="1"/>
    </xf>
    <xf numFmtId="0" fontId="29" fillId="64" borderId="87" xfId="0" applyFont="1" applyFill="1" applyBorder="1" applyAlignment="1" applyProtection="1">
      <alignment horizontal="center" vertical="center" wrapText="1"/>
      <protection hidden="1"/>
    </xf>
    <xf numFmtId="0" fontId="29" fillId="64" borderId="64" xfId="0" applyFont="1" applyFill="1" applyBorder="1" applyAlignment="1" applyProtection="1">
      <alignment horizontal="center" vertical="center" wrapText="1"/>
      <protection hidden="1"/>
    </xf>
    <xf numFmtId="0" fontId="29" fillId="52" borderId="28" xfId="0" applyFont="1" applyFill="1" applyBorder="1" applyAlignment="1" applyProtection="1">
      <alignment horizontal="center" vertical="center" wrapText="1"/>
      <protection hidden="1"/>
    </xf>
    <xf numFmtId="0" fontId="29" fillId="52" borderId="31" xfId="0" applyFont="1" applyFill="1" applyBorder="1" applyAlignment="1" applyProtection="1">
      <alignment horizontal="center" vertical="center" wrapText="1"/>
      <protection hidden="1"/>
    </xf>
    <xf numFmtId="0" fontId="29" fillId="0" borderId="20" xfId="0" applyFont="1" applyFill="1" applyBorder="1" applyAlignment="1" applyProtection="1">
      <alignment horizontal="center" vertical="center" wrapText="1"/>
      <protection hidden="1"/>
    </xf>
    <xf numFmtId="0" fontId="29" fillId="0" borderId="17" xfId="0" applyFont="1" applyFill="1" applyBorder="1" applyAlignment="1" applyProtection="1">
      <alignment horizontal="center" vertical="center" wrapText="1"/>
      <protection hidden="1"/>
    </xf>
    <xf numFmtId="166" fontId="30" fillId="0" borderId="17" xfId="0" applyNumberFormat="1" applyFont="1" applyFill="1" applyBorder="1" applyAlignment="1" applyProtection="1">
      <alignment horizontal="left" vertical="center" indent="4"/>
      <protection hidden="1"/>
    </xf>
    <xf numFmtId="166" fontId="30" fillId="0" borderId="20" xfId="0" applyNumberFormat="1" applyFont="1" applyFill="1" applyBorder="1" applyAlignment="1" applyProtection="1">
      <alignment horizontal="left" vertical="center" indent="4"/>
      <protection hidden="1"/>
    </xf>
    <xf numFmtId="0" fontId="29" fillId="0" borderId="22" xfId="0" applyFont="1" applyFill="1" applyBorder="1" applyAlignment="1" applyProtection="1">
      <alignment horizontal="center" vertical="center" wrapText="1"/>
      <protection hidden="1"/>
    </xf>
    <xf numFmtId="0" fontId="29" fillId="0" borderId="24" xfId="0" applyFont="1" applyFill="1" applyBorder="1" applyAlignment="1" applyProtection="1">
      <alignment horizontal="center" vertical="center" wrapText="1"/>
      <protection hidden="1"/>
    </xf>
    <xf numFmtId="0" fontId="29" fillId="64" borderId="24" xfId="0" applyFont="1" applyFill="1" applyBorder="1" applyAlignment="1" applyProtection="1">
      <alignment horizontal="center" vertical="center" wrapText="1"/>
      <protection hidden="1"/>
    </xf>
    <xf numFmtId="0" fontId="29" fillId="64" borderId="38" xfId="0" applyFont="1" applyFill="1" applyBorder="1" applyAlignment="1" applyProtection="1">
      <alignment horizontal="center" vertical="center" wrapText="1"/>
      <protection hidden="1"/>
    </xf>
    <xf numFmtId="0" fontId="67" fillId="59" borderId="112" xfId="0" applyFont="1" applyFill="1" applyBorder="1" applyAlignment="1" applyProtection="1">
      <alignment horizontal="center" vertical="center" wrapText="1"/>
      <protection hidden="1"/>
    </xf>
    <xf numFmtId="0" fontId="67" fillId="59" borderId="113" xfId="0" applyFont="1" applyFill="1" applyBorder="1" applyAlignment="1" applyProtection="1">
      <alignment horizontal="center" vertical="center" wrapText="1"/>
      <protection hidden="1"/>
    </xf>
    <xf numFmtId="0" fontId="67" fillId="59" borderId="114" xfId="0" applyFont="1" applyFill="1" applyBorder="1" applyAlignment="1" applyProtection="1">
      <alignment horizontal="center" vertical="center" wrapText="1"/>
      <protection hidden="1"/>
    </xf>
    <xf numFmtId="0" fontId="29" fillId="53" borderId="22" xfId="0" applyFont="1" applyFill="1" applyBorder="1" applyAlignment="1" applyProtection="1">
      <alignment horizontal="center" vertical="center" wrapText="1"/>
      <protection hidden="1"/>
    </xf>
    <xf numFmtId="0" fontId="29" fillId="53" borderId="38" xfId="0" applyFont="1" applyFill="1" applyBorder="1" applyAlignment="1" applyProtection="1">
      <alignment horizontal="center" vertical="center" wrapText="1"/>
      <protection hidden="1"/>
    </xf>
    <xf numFmtId="9" fontId="42" fillId="0" borderId="28" xfId="373" applyFont="1" applyBorder="1" applyAlignment="1">
      <alignment horizontal="center" vertical="center"/>
    </xf>
    <xf numFmtId="9" fontId="42" fillId="0" borderId="18" xfId="373" applyFont="1" applyBorder="1" applyAlignment="1">
      <alignment horizontal="center" vertical="center"/>
    </xf>
    <xf numFmtId="9" fontId="42" fillId="0" borderId="31" xfId="373" applyFont="1" applyBorder="1" applyAlignment="1">
      <alignment horizontal="center" vertical="center"/>
    </xf>
    <xf numFmtId="0" fontId="108" fillId="59" borderId="83" xfId="0" applyFont="1" applyFill="1" applyBorder="1" applyAlignment="1" applyProtection="1">
      <alignment horizontal="center" vertical="center" wrapText="1"/>
      <protection hidden="1"/>
    </xf>
    <xf numFmtId="0" fontId="108" fillId="59" borderId="85" xfId="0" applyFont="1" applyFill="1" applyBorder="1" applyAlignment="1" applyProtection="1">
      <alignment horizontal="center" vertical="center" wrapText="1"/>
      <protection hidden="1"/>
    </xf>
    <xf numFmtId="0" fontId="108" fillId="59" borderId="87" xfId="0" applyFont="1" applyFill="1" applyBorder="1" applyAlignment="1" applyProtection="1">
      <alignment horizontal="center" vertical="center" wrapText="1"/>
      <protection hidden="1"/>
    </xf>
    <xf numFmtId="4" fontId="30" fillId="0" borderId="17" xfId="0" applyNumberFormat="1" applyFont="1" applyFill="1" applyBorder="1" applyAlignment="1" applyProtection="1">
      <alignment horizontal="center" vertical="center"/>
      <protection hidden="1"/>
    </xf>
    <xf numFmtId="4" fontId="30" fillId="0" borderId="20" xfId="0" applyNumberFormat="1" applyFont="1" applyFill="1" applyBorder="1" applyAlignment="1" applyProtection="1">
      <alignment horizontal="center" vertical="center"/>
      <protection hidden="1"/>
    </xf>
    <xf numFmtId="3" fontId="113" fillId="59" borderId="96" xfId="0" applyNumberFormat="1" applyFont="1" applyFill="1" applyBorder="1" applyAlignment="1" applyProtection="1">
      <alignment horizontal="center" vertical="center"/>
      <protection hidden="1"/>
    </xf>
    <xf numFmtId="3" fontId="113" fillId="59" borderId="98" xfId="0" applyNumberFormat="1" applyFont="1" applyFill="1" applyBorder="1" applyAlignment="1" applyProtection="1">
      <alignment horizontal="center" vertical="center"/>
      <protection hidden="1"/>
    </xf>
    <xf numFmtId="0" fontId="30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34" fillId="0" borderId="10" xfId="0" applyNumberFormat="1" applyFont="1" applyFill="1" applyBorder="1" applyAlignment="1" applyProtection="1">
      <alignment horizontal="center" vertical="center"/>
      <protection hidden="1"/>
    </xf>
    <xf numFmtId="0" fontId="30" fillId="59" borderId="62" xfId="0" applyNumberFormat="1" applyFont="1" applyFill="1" applyBorder="1" applyAlignment="1" applyProtection="1">
      <alignment horizontal="center" vertical="center" wrapText="1"/>
      <protection hidden="1"/>
    </xf>
    <xf numFmtId="0" fontId="30" fillId="59" borderId="26" xfId="0" applyNumberFormat="1" applyFont="1" applyFill="1" applyBorder="1" applyAlignment="1" applyProtection="1">
      <alignment horizontal="center" vertical="center" wrapText="1"/>
      <protection hidden="1"/>
    </xf>
    <xf numFmtId="4" fontId="30" fillId="0" borderId="10" xfId="0" applyNumberFormat="1" applyFont="1" applyFill="1" applyBorder="1" applyAlignment="1" applyProtection="1">
      <alignment horizontal="center" vertical="center"/>
      <protection hidden="1"/>
    </xf>
    <xf numFmtId="0" fontId="82" fillId="0" borderId="19" xfId="356" applyFont="1" applyBorder="1" applyAlignment="1" applyProtection="1">
      <alignment horizontal="left" vertical="center" wrapText="1"/>
      <protection hidden="1"/>
    </xf>
    <xf numFmtId="0" fontId="82" fillId="0" borderId="0" xfId="0" applyFont="1" applyBorder="1" applyAlignment="1" applyProtection="1">
      <alignment horizontal="left" vertical="center" wrapText="1"/>
      <protection hidden="1"/>
    </xf>
    <xf numFmtId="0" fontId="82" fillId="0" borderId="75" xfId="0" applyFont="1" applyBorder="1" applyAlignment="1">
      <alignment horizontal="left" vertical="center" wrapText="1"/>
    </xf>
    <xf numFmtId="0" fontId="82" fillId="0" borderId="19" xfId="0" applyFont="1" applyBorder="1" applyAlignment="1" applyProtection="1">
      <alignment horizontal="left" vertical="center" wrapText="1"/>
      <protection hidden="1"/>
    </xf>
    <xf numFmtId="0" fontId="3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0" fillId="53" borderId="17" xfId="0" applyNumberFormat="1" applyFont="1" applyFill="1" applyBorder="1" applyAlignment="1" applyProtection="1">
      <alignment horizontal="center" vertical="center" wrapText="1"/>
      <protection hidden="1"/>
    </xf>
    <xf numFmtId="0" fontId="30" fillId="53" borderId="15" xfId="0" applyNumberFormat="1" applyFont="1" applyFill="1" applyBorder="1" applyAlignment="1" applyProtection="1">
      <alignment horizontal="center" vertical="center" wrapText="1"/>
      <protection hidden="1"/>
    </xf>
    <xf numFmtId="3" fontId="30" fillId="0" borderId="17" xfId="0" applyNumberFormat="1" applyFont="1" applyFill="1" applyBorder="1" applyAlignment="1" applyProtection="1">
      <alignment horizontal="center" vertical="center"/>
      <protection hidden="1"/>
    </xf>
    <xf numFmtId="3" fontId="30" fillId="0" borderId="20" xfId="0" applyNumberFormat="1" applyFont="1" applyFill="1" applyBorder="1" applyAlignment="1" applyProtection="1">
      <alignment horizontal="center" vertical="center"/>
      <protection hidden="1"/>
    </xf>
    <xf numFmtId="4" fontId="37" fillId="59" borderId="62" xfId="0" applyNumberFormat="1" applyFont="1" applyFill="1" applyBorder="1" applyAlignment="1" applyProtection="1">
      <alignment horizontal="center" vertical="center"/>
      <protection hidden="1"/>
    </xf>
    <xf numFmtId="4" fontId="37" fillId="59" borderId="26" xfId="0" applyNumberFormat="1" applyFont="1" applyFill="1" applyBorder="1" applyAlignment="1" applyProtection="1">
      <alignment horizontal="center" vertical="center"/>
      <protection hidden="1"/>
    </xf>
    <xf numFmtId="0" fontId="29" fillId="46" borderId="25" xfId="0" applyFont="1" applyFill="1" applyBorder="1" applyAlignment="1" applyProtection="1">
      <alignment horizontal="center" vertical="center" wrapText="1"/>
      <protection hidden="1"/>
    </xf>
    <xf numFmtId="0" fontId="29" fillId="46" borderId="38" xfId="0" applyFont="1" applyFill="1" applyBorder="1" applyAlignment="1" applyProtection="1">
      <alignment horizontal="center" vertical="center" wrapText="1"/>
      <protection hidden="1"/>
    </xf>
    <xf numFmtId="0" fontId="29" fillId="0" borderId="72" xfId="0" applyFont="1" applyBorder="1" applyAlignment="1" applyProtection="1">
      <alignment horizontal="left" vertical="center" wrapText="1"/>
      <protection hidden="1"/>
    </xf>
    <xf numFmtId="0" fontId="29" fillId="0" borderId="73" xfId="0" applyFont="1" applyBorder="1" applyAlignment="1" applyProtection="1">
      <alignment horizontal="left" vertical="center" wrapText="1"/>
      <protection hidden="1"/>
    </xf>
    <xf numFmtId="0" fontId="29" fillId="0" borderId="74" xfId="0" applyFont="1" applyBorder="1" applyAlignment="1" applyProtection="1">
      <alignment horizontal="left" vertical="center" wrapText="1"/>
      <protection hidden="1"/>
    </xf>
    <xf numFmtId="0" fontId="68" fillId="0" borderId="10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17" xfId="0" applyFont="1" applyBorder="1" applyAlignment="1">
      <alignment horizontal="center"/>
    </xf>
    <xf numFmtId="3" fontId="30" fillId="64" borderId="20" xfId="0" applyNumberFormat="1" applyFont="1" applyFill="1" applyBorder="1" applyAlignment="1" applyProtection="1">
      <alignment horizontal="center" vertical="center"/>
      <protection hidden="1"/>
    </xf>
    <xf numFmtId="3" fontId="30" fillId="64" borderId="15" xfId="0" applyNumberFormat="1" applyFont="1" applyFill="1" applyBorder="1" applyAlignment="1" applyProtection="1">
      <alignment horizontal="center" vertical="center"/>
      <protection hidden="1"/>
    </xf>
    <xf numFmtId="0" fontId="29" fillId="0" borderId="10" xfId="0" applyFont="1" applyFill="1" applyBorder="1" applyAlignment="1" applyProtection="1">
      <alignment horizontal="center" vertical="center" wrapText="1"/>
      <protection hidden="1"/>
    </xf>
    <xf numFmtId="2" fontId="30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63" fillId="60" borderId="99" xfId="0" applyFont="1" applyFill="1" applyBorder="1" applyAlignment="1" applyProtection="1">
      <alignment horizontal="center" vertical="center" wrapText="1"/>
      <protection hidden="1"/>
    </xf>
    <xf numFmtId="0" fontId="63" fillId="60" borderId="62" xfId="0" applyFont="1" applyFill="1" applyBorder="1" applyAlignment="1" applyProtection="1">
      <alignment horizontal="center" vertical="center" wrapText="1"/>
      <protection hidden="1"/>
    </xf>
    <xf numFmtId="0" fontId="63" fillId="60" borderId="100" xfId="0" applyFont="1" applyFill="1" applyBorder="1" applyAlignment="1" applyProtection="1">
      <alignment horizontal="center" vertical="center" wrapText="1"/>
      <protection hidden="1"/>
    </xf>
    <xf numFmtId="0" fontId="63" fillId="60" borderId="26" xfId="0" applyFont="1" applyFill="1" applyBorder="1" applyAlignment="1" applyProtection="1">
      <alignment horizontal="center" vertical="center" wrapText="1"/>
      <protection hidden="1"/>
    </xf>
    <xf numFmtId="2" fontId="30" fillId="59" borderId="62" xfId="0" applyNumberFormat="1" applyFont="1" applyFill="1" applyBorder="1" applyAlignment="1" applyProtection="1">
      <alignment horizontal="center" vertical="center" wrapText="1"/>
      <protection hidden="1"/>
    </xf>
    <xf numFmtId="2" fontId="30" fillId="59" borderId="26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Border="1" applyAlignment="1" applyProtection="1">
      <alignment horizontal="left" wrapText="1"/>
      <protection hidden="1"/>
    </xf>
    <xf numFmtId="0" fontId="29" fillId="56" borderId="21" xfId="0" applyFont="1" applyFill="1" applyBorder="1" applyAlignment="1" applyProtection="1">
      <alignment horizontal="center" vertical="center" wrapText="1"/>
      <protection hidden="1"/>
    </xf>
    <xf numFmtId="0" fontId="29" fillId="56" borderId="22" xfId="0" applyFont="1" applyFill="1" applyBorder="1" applyAlignment="1" applyProtection="1">
      <alignment horizontal="center" vertical="center" wrapText="1"/>
      <protection hidden="1"/>
    </xf>
    <xf numFmtId="0" fontId="73" fillId="56" borderId="28" xfId="0" applyFont="1" applyFill="1" applyBorder="1" applyAlignment="1">
      <alignment horizontal="center" vertical="center" wrapText="1"/>
    </xf>
    <xf numFmtId="0" fontId="73" fillId="56" borderId="31" xfId="0" applyFont="1" applyFill="1" applyBorder="1" applyAlignment="1">
      <alignment horizontal="center" vertical="center" wrapText="1"/>
    </xf>
    <xf numFmtId="0" fontId="29" fillId="56" borderId="23" xfId="0" applyFont="1" applyFill="1" applyBorder="1" applyAlignment="1" applyProtection="1">
      <alignment horizontal="center" vertical="center" wrapText="1"/>
      <protection hidden="1"/>
    </xf>
    <xf numFmtId="0" fontId="29" fillId="56" borderId="24" xfId="0" applyFont="1" applyFill="1" applyBorder="1" applyAlignment="1" applyProtection="1">
      <alignment horizontal="center" vertical="center" wrapText="1"/>
      <protection hidden="1"/>
    </xf>
    <xf numFmtId="0" fontId="29" fillId="56" borderId="25" xfId="0" applyFont="1" applyFill="1" applyBorder="1" applyAlignment="1" applyProtection="1">
      <alignment horizontal="center" vertical="center" wrapText="1"/>
      <protection hidden="1"/>
    </xf>
    <xf numFmtId="0" fontId="29" fillId="56" borderId="38" xfId="0" applyFont="1" applyFill="1" applyBorder="1" applyAlignment="1" applyProtection="1">
      <alignment horizontal="center" vertical="center" wrapText="1"/>
      <protection hidden="1"/>
    </xf>
    <xf numFmtId="0" fontId="73" fillId="56" borderId="17" xfId="0" applyFont="1" applyFill="1" applyBorder="1" applyAlignment="1" applyProtection="1">
      <alignment horizontal="center" vertical="center" wrapText="1"/>
      <protection hidden="1"/>
    </xf>
    <xf numFmtId="0" fontId="73" fillId="56" borderId="20" xfId="0" applyFont="1" applyFill="1" applyBorder="1" applyAlignment="1" applyProtection="1">
      <alignment horizontal="center" vertical="center" wrapText="1"/>
      <protection hidden="1"/>
    </xf>
    <xf numFmtId="0" fontId="29" fillId="0" borderId="83" xfId="0" applyFont="1" applyFill="1" applyBorder="1" applyAlignment="1" applyProtection="1">
      <alignment horizontal="center" vertical="center" wrapText="1"/>
      <protection hidden="1"/>
    </xf>
    <xf numFmtId="0" fontId="29" fillId="0" borderId="85" xfId="0" applyFont="1" applyFill="1" applyBorder="1" applyAlignment="1" applyProtection="1">
      <alignment horizontal="center" vertical="center" wrapText="1"/>
      <protection hidden="1"/>
    </xf>
    <xf numFmtId="0" fontId="29" fillId="0" borderId="87" xfId="0" applyFont="1" applyFill="1" applyBorder="1" applyAlignment="1" applyProtection="1">
      <alignment horizontal="center" vertical="center" wrapText="1"/>
      <protection hidden="1"/>
    </xf>
    <xf numFmtId="0" fontId="86" fillId="54" borderId="0" xfId="0" applyFont="1" applyFill="1" applyBorder="1" applyAlignment="1">
      <alignment horizontal="center" vertical="center"/>
    </xf>
    <xf numFmtId="0" fontId="56" fillId="0" borderId="0" xfId="0" applyFont="1" applyBorder="1" applyAlignment="1">
      <alignment horizontal="center" vertical="center" wrapText="1"/>
    </xf>
    <xf numFmtId="0" fontId="30" fillId="0" borderId="0" xfId="0" applyFont="1" applyBorder="1" applyAlignment="1" applyProtection="1">
      <alignment horizontal="center" vertical="center" wrapText="1"/>
      <protection hidden="1"/>
    </xf>
    <xf numFmtId="0" fontId="68" fillId="0" borderId="0" xfId="0" applyFont="1" applyBorder="1" applyAlignment="1">
      <alignment horizontal="center" vertical="center"/>
    </xf>
    <xf numFmtId="3" fontId="55" fillId="0" borderId="0" xfId="0" applyNumberFormat="1" applyFont="1" applyFill="1" applyBorder="1" applyAlignment="1" applyProtection="1">
      <alignment horizontal="center" vertical="center"/>
      <protection hidden="1"/>
    </xf>
    <xf numFmtId="0" fontId="36" fillId="0" borderId="16" xfId="356" applyFont="1" applyBorder="1" applyAlignment="1" applyProtection="1">
      <alignment horizontal="center"/>
      <protection hidden="1"/>
    </xf>
    <xf numFmtId="0" fontId="29" fillId="47" borderId="10" xfId="0" applyFont="1" applyFill="1" applyBorder="1" applyAlignment="1" applyProtection="1">
      <alignment horizontal="center" vertical="center" wrapText="1"/>
      <protection hidden="1"/>
    </xf>
    <xf numFmtId="0" fontId="29" fillId="0" borderId="17" xfId="0" applyFont="1" applyBorder="1" applyAlignment="1" applyProtection="1">
      <alignment horizontal="center" vertical="center" wrapText="1"/>
      <protection hidden="1"/>
    </xf>
    <xf numFmtId="0" fontId="29" fillId="0" borderId="15" xfId="0" applyFont="1" applyBorder="1" applyAlignment="1" applyProtection="1">
      <alignment horizontal="center" vertical="center" wrapText="1"/>
      <protection hidden="1"/>
    </xf>
    <xf numFmtId="0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29" fillId="0" borderId="20" xfId="0" applyFont="1" applyBorder="1" applyAlignment="1" applyProtection="1">
      <alignment horizontal="center" vertical="center" wrapText="1"/>
      <protection hidden="1"/>
    </xf>
    <xf numFmtId="0" fontId="30" fillId="0" borderId="17" xfId="0" applyNumberFormat="1" applyFont="1" applyBorder="1" applyAlignment="1" applyProtection="1">
      <alignment horizontal="center" vertical="center" wrapText="1"/>
      <protection hidden="1"/>
    </xf>
    <xf numFmtId="0" fontId="30" fillId="0" borderId="20" xfId="0" applyNumberFormat="1" applyFont="1" applyBorder="1" applyAlignment="1" applyProtection="1">
      <alignment horizontal="center" vertical="center" wrapText="1"/>
      <protection hidden="1"/>
    </xf>
    <xf numFmtId="0" fontId="30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55" fillId="0" borderId="17" xfId="0" applyNumberFormat="1" applyFont="1" applyFill="1" applyBorder="1" applyAlignment="1" applyProtection="1">
      <alignment horizontal="center" vertical="center"/>
      <protection hidden="1"/>
    </xf>
    <xf numFmtId="3" fontId="55" fillId="0" borderId="20" xfId="0" applyNumberFormat="1" applyFont="1" applyFill="1" applyBorder="1" applyAlignment="1" applyProtection="1">
      <alignment horizontal="center" vertical="center"/>
      <protection hidden="1"/>
    </xf>
    <xf numFmtId="3" fontId="55" fillId="0" borderId="15" xfId="0" applyNumberFormat="1" applyFont="1" applyFill="1" applyBorder="1" applyAlignment="1" applyProtection="1">
      <alignment horizontal="center" vertical="center"/>
      <protection hidden="1"/>
    </xf>
    <xf numFmtId="0" fontId="29" fillId="0" borderId="119" xfId="0" applyFont="1" applyFill="1" applyBorder="1" applyAlignment="1" applyProtection="1">
      <alignment horizontal="center" vertical="center" wrapText="1"/>
      <protection hidden="1"/>
    </xf>
    <xf numFmtId="0" fontId="29" fillId="0" borderId="92" xfId="0" applyFont="1" applyFill="1" applyBorder="1" applyAlignment="1" applyProtection="1">
      <alignment horizontal="center" vertical="center" wrapText="1"/>
      <protection hidden="1"/>
    </xf>
    <xf numFmtId="0" fontId="29" fillId="0" borderId="117" xfId="0" applyFont="1" applyFill="1" applyBorder="1" applyAlignment="1" applyProtection="1">
      <alignment horizontal="center" vertical="center" wrapText="1"/>
      <protection hidden="1"/>
    </xf>
    <xf numFmtId="0" fontId="30" fillId="0" borderId="15" xfId="0" applyNumberFormat="1" applyFont="1" applyBorder="1" applyAlignment="1" applyProtection="1">
      <alignment horizontal="center" vertical="center" wrapText="1"/>
      <protection hidden="1"/>
    </xf>
    <xf numFmtId="0" fontId="29" fillId="46" borderId="21" xfId="0" applyFont="1" applyFill="1" applyBorder="1" applyAlignment="1" applyProtection="1">
      <alignment horizontal="center" vertical="center" wrapText="1"/>
      <protection hidden="1"/>
    </xf>
    <xf numFmtId="0" fontId="29" fillId="46" borderId="19" xfId="0" applyFont="1" applyFill="1" applyBorder="1" applyAlignment="1" applyProtection="1">
      <alignment horizontal="center" vertical="center" wrapText="1"/>
      <protection hidden="1"/>
    </xf>
    <xf numFmtId="0" fontId="29" fillId="46" borderId="22" xfId="0" applyFont="1" applyFill="1" applyBorder="1" applyAlignment="1" applyProtection="1">
      <alignment horizontal="center" vertical="center" wrapText="1"/>
      <protection hidden="1"/>
    </xf>
    <xf numFmtId="0" fontId="29" fillId="46" borderId="23" xfId="0" applyFont="1" applyFill="1" applyBorder="1" applyAlignment="1" applyProtection="1">
      <alignment horizontal="center" vertical="center" wrapText="1"/>
      <protection hidden="1"/>
    </xf>
    <xf numFmtId="0" fontId="29" fillId="46" borderId="0" xfId="0" applyFont="1" applyFill="1" applyBorder="1" applyAlignment="1" applyProtection="1">
      <alignment horizontal="center" vertical="center" wrapText="1"/>
      <protection hidden="1"/>
    </xf>
    <xf numFmtId="0" fontId="29" fillId="46" borderId="24" xfId="0" applyFont="1" applyFill="1" applyBorder="1" applyAlignment="1" applyProtection="1">
      <alignment horizontal="center" vertical="center" wrapText="1"/>
      <protection hidden="1"/>
    </xf>
    <xf numFmtId="0" fontId="29" fillId="46" borderId="16" xfId="0" applyFont="1" applyFill="1" applyBorder="1" applyAlignment="1" applyProtection="1">
      <alignment horizontal="center" vertical="center" wrapText="1"/>
      <protection hidden="1"/>
    </xf>
    <xf numFmtId="0" fontId="30" fillId="0" borderId="17" xfId="0" applyFont="1" applyBorder="1" applyAlignment="1" applyProtection="1">
      <alignment horizontal="center" vertical="center" wrapText="1"/>
      <protection hidden="1"/>
    </xf>
    <xf numFmtId="0" fontId="30" fillId="0" borderId="20" xfId="0" applyFont="1" applyBorder="1" applyAlignment="1" applyProtection="1">
      <alignment horizontal="center" vertical="center" wrapText="1"/>
      <protection hidden="1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2" fontId="30" fillId="0" borderId="17" xfId="0" applyNumberFormat="1" applyFont="1" applyFill="1" applyBorder="1" applyAlignment="1" applyProtection="1">
      <alignment horizontal="center" vertical="center"/>
      <protection hidden="1"/>
    </xf>
    <xf numFmtId="2" fontId="30" fillId="0" borderId="20" xfId="0" applyNumberFormat="1" applyFont="1" applyFill="1" applyBorder="1" applyAlignment="1" applyProtection="1">
      <alignment horizontal="center" vertical="center"/>
      <protection hidden="1"/>
    </xf>
    <xf numFmtId="2" fontId="30" fillId="0" borderId="15" xfId="0" applyNumberFormat="1" applyFont="1" applyFill="1" applyBorder="1" applyAlignment="1" applyProtection="1">
      <alignment horizontal="center" vertical="center"/>
      <protection hidden="1"/>
    </xf>
    <xf numFmtId="0" fontId="29" fillId="56" borderId="17" xfId="0" applyFont="1" applyFill="1" applyBorder="1" applyAlignment="1" applyProtection="1">
      <alignment horizontal="center" vertical="center"/>
      <protection hidden="1"/>
    </xf>
    <xf numFmtId="0" fontId="29" fillId="56" borderId="20" xfId="0" applyFont="1" applyFill="1" applyBorder="1" applyAlignment="1" applyProtection="1">
      <alignment horizontal="center" vertical="center"/>
      <protection hidden="1"/>
    </xf>
    <xf numFmtId="0" fontId="29" fillId="56" borderId="10" xfId="0" applyFont="1" applyFill="1" applyBorder="1" applyAlignment="1" applyProtection="1">
      <alignment horizontal="center" vertical="center" wrapText="1"/>
      <protection hidden="1"/>
    </xf>
    <xf numFmtId="0" fontId="29" fillId="56" borderId="17" xfId="0" applyFont="1" applyFill="1" applyBorder="1" applyAlignment="1" applyProtection="1">
      <alignment horizontal="center" vertical="center" wrapText="1"/>
      <protection hidden="1"/>
    </xf>
    <xf numFmtId="0" fontId="29" fillId="56" borderId="20" xfId="0" applyFont="1" applyFill="1" applyBorder="1" applyAlignment="1" applyProtection="1">
      <alignment horizontal="center" vertical="center" wrapText="1"/>
      <protection hidden="1"/>
    </xf>
    <xf numFmtId="0" fontId="29" fillId="0" borderId="119" xfId="0" applyFont="1" applyBorder="1" applyAlignment="1" applyProtection="1">
      <alignment horizontal="center" vertical="center" wrapText="1"/>
      <protection hidden="1"/>
    </xf>
    <xf numFmtId="0" fontId="29" fillId="0" borderId="92" xfId="0" applyFont="1" applyBorder="1" applyAlignment="1" applyProtection="1">
      <alignment horizontal="center" vertical="center" wrapText="1"/>
      <protection hidden="1"/>
    </xf>
    <xf numFmtId="0" fontId="29" fillId="0" borderId="117" xfId="0" applyFont="1" applyBorder="1" applyAlignment="1" applyProtection="1">
      <alignment horizontal="center" vertical="center" wrapText="1"/>
      <protection hidden="1"/>
    </xf>
    <xf numFmtId="0" fontId="29" fillId="0" borderId="24" xfId="0" applyFont="1" applyBorder="1" applyAlignment="1" applyProtection="1">
      <alignment horizontal="center" vertical="center" wrapText="1"/>
      <protection hidden="1"/>
    </xf>
    <xf numFmtId="0" fontId="36" fillId="0" borderId="16" xfId="356" applyFont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left" vertical="center" wrapText="1"/>
      <protection hidden="1"/>
    </xf>
    <xf numFmtId="0" fontId="33" fillId="0" borderId="0" xfId="0" applyFont="1" applyBorder="1" applyAlignment="1">
      <alignment horizontal="left" vertical="center" wrapText="1"/>
    </xf>
    <xf numFmtId="0" fontId="86" fillId="54" borderId="19" xfId="0" applyFont="1" applyFill="1" applyBorder="1" applyAlignment="1">
      <alignment horizontal="center" vertical="center"/>
    </xf>
    <xf numFmtId="0" fontId="84" fillId="0" borderId="25" xfId="0" applyFont="1" applyBorder="1" applyAlignment="1" applyProtection="1">
      <alignment horizontal="center" vertical="center" wrapText="1"/>
      <protection hidden="1"/>
    </xf>
    <xf numFmtId="0" fontId="84" fillId="0" borderId="38" xfId="0" applyFont="1" applyBorder="1" applyAlignment="1" applyProtection="1">
      <alignment horizontal="center" vertical="center" wrapText="1"/>
      <protection hidden="1"/>
    </xf>
    <xf numFmtId="0" fontId="84" fillId="0" borderId="28" xfId="0" applyFont="1" applyBorder="1" applyAlignment="1" applyProtection="1">
      <alignment horizontal="center" vertical="center" wrapText="1"/>
      <protection hidden="1"/>
    </xf>
    <xf numFmtId="0" fontId="84" fillId="0" borderId="31" xfId="0" applyFont="1" applyBorder="1" applyAlignment="1" applyProtection="1">
      <alignment horizontal="center" vertical="center" wrapText="1"/>
      <protection hidden="1"/>
    </xf>
    <xf numFmtId="0" fontId="84" fillId="59" borderId="126" xfId="0" applyFont="1" applyFill="1" applyBorder="1" applyAlignment="1" applyProtection="1">
      <alignment horizontal="center" vertical="center" wrapText="1"/>
      <protection hidden="1"/>
    </xf>
    <xf numFmtId="0" fontId="84" fillId="59" borderId="127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Border="1" applyAlignment="1" applyProtection="1">
      <alignment horizontal="center" vertical="center" wrapText="1"/>
      <protection hidden="1"/>
    </xf>
    <xf numFmtId="0" fontId="108" fillId="59" borderId="123" xfId="0" applyFont="1" applyFill="1" applyBorder="1" applyAlignment="1" applyProtection="1">
      <alignment horizontal="center" vertical="center" wrapText="1"/>
      <protection hidden="1"/>
    </xf>
    <xf numFmtId="0" fontId="108" fillId="59" borderId="92" xfId="0" applyFont="1" applyFill="1" applyBorder="1" applyAlignment="1" applyProtection="1">
      <alignment horizontal="center" vertical="center" wrapText="1"/>
      <protection hidden="1"/>
    </xf>
    <xf numFmtId="0" fontId="108" fillId="59" borderId="117" xfId="0" applyFont="1" applyFill="1" applyBorder="1" applyAlignment="1" applyProtection="1">
      <alignment horizontal="center" vertical="center" wrapText="1"/>
      <protection hidden="1"/>
    </xf>
    <xf numFmtId="0" fontId="30" fillId="0" borderId="105" xfId="0" applyFont="1" applyBorder="1" applyAlignment="1" applyProtection="1">
      <alignment horizontal="center" vertical="center" wrapText="1"/>
      <protection hidden="1"/>
    </xf>
    <xf numFmtId="0" fontId="30" fillId="0" borderId="107" xfId="0" applyFont="1" applyBorder="1" applyAlignment="1" applyProtection="1">
      <alignment horizontal="center" vertical="center" wrapText="1"/>
      <protection hidden="1"/>
    </xf>
    <xf numFmtId="0" fontId="33" fillId="61" borderId="17" xfId="0" applyFont="1" applyFill="1" applyBorder="1" applyAlignment="1" applyProtection="1">
      <alignment horizontal="center" wrapText="1"/>
      <protection hidden="1"/>
    </xf>
    <xf numFmtId="0" fontId="33" fillId="61" borderId="20" xfId="0" applyFont="1" applyFill="1" applyBorder="1" applyAlignment="1" applyProtection="1">
      <alignment horizontal="center" wrapText="1"/>
      <protection hidden="1"/>
    </xf>
    <xf numFmtId="0" fontId="85" fillId="61" borderId="20" xfId="0" applyFont="1" applyFill="1" applyBorder="1" applyAlignment="1" applyProtection="1">
      <alignment horizontal="left" vertical="top" wrapText="1"/>
      <protection hidden="1"/>
    </xf>
    <xf numFmtId="0" fontId="33" fillId="0" borderId="102" xfId="0" applyFont="1" applyFill="1" applyBorder="1" applyAlignment="1" applyProtection="1">
      <alignment horizontal="center" wrapText="1"/>
      <protection hidden="1"/>
    </xf>
    <xf numFmtId="0" fontId="33" fillId="0" borderId="103" xfId="0" applyFont="1" applyFill="1" applyBorder="1" applyAlignment="1" applyProtection="1">
      <alignment horizontal="center" wrapText="1"/>
      <protection hidden="1"/>
    </xf>
    <xf numFmtId="0" fontId="117" fillId="0" borderId="103" xfId="0" applyFont="1" applyFill="1" applyBorder="1" applyAlignment="1" applyProtection="1">
      <alignment horizontal="left" vertical="top" wrapText="1"/>
      <protection hidden="1"/>
    </xf>
    <xf numFmtId="3" fontId="113" fillId="59" borderId="118" xfId="0" applyNumberFormat="1" applyFont="1" applyFill="1" applyBorder="1" applyAlignment="1" applyProtection="1">
      <alignment horizontal="center" vertical="center"/>
      <protection hidden="1"/>
    </xf>
    <xf numFmtId="3" fontId="113" fillId="59" borderId="88" xfId="0" applyNumberFormat="1" applyFont="1" applyFill="1" applyBorder="1" applyAlignment="1" applyProtection="1">
      <alignment horizontal="center" vertical="center"/>
      <protection hidden="1"/>
    </xf>
    <xf numFmtId="0" fontId="29" fillId="46" borderId="28" xfId="0" applyFont="1" applyFill="1" applyBorder="1" applyAlignment="1" applyProtection="1">
      <alignment horizontal="left" vertical="center" wrapText="1"/>
      <protection hidden="1"/>
    </xf>
    <xf numFmtId="0" fontId="29" fillId="46" borderId="31" xfId="0" applyFont="1" applyFill="1" applyBorder="1" applyAlignment="1" applyProtection="1">
      <alignment horizontal="left" vertical="center" wrapText="1"/>
      <protection hidden="1"/>
    </xf>
    <xf numFmtId="0" fontId="29" fillId="0" borderId="10" xfId="0" applyFont="1" applyBorder="1" applyAlignment="1" applyProtection="1">
      <alignment horizontal="left" vertical="center" wrapText="1"/>
      <protection hidden="1"/>
    </xf>
    <xf numFmtId="0" fontId="84" fillId="0" borderId="21" xfId="0" applyFont="1" applyBorder="1" applyAlignment="1" applyProtection="1">
      <alignment horizontal="center" vertical="center" wrapText="1"/>
      <protection hidden="1"/>
    </xf>
    <xf numFmtId="0" fontId="84" fillId="0" borderId="22" xfId="0" applyFont="1" applyBorder="1" applyAlignment="1" applyProtection="1">
      <alignment horizontal="center" vertical="center" wrapText="1"/>
      <protection hidden="1"/>
    </xf>
    <xf numFmtId="0" fontId="30" fillId="55" borderId="20" xfId="0" applyNumberFormat="1" applyFont="1" applyFill="1" applyBorder="1" applyAlignment="1" applyProtection="1">
      <alignment horizontal="center" vertical="center" wrapText="1"/>
      <protection hidden="1"/>
    </xf>
    <xf numFmtId="0" fontId="30" fillId="61" borderId="10" xfId="0" applyNumberFormat="1" applyFont="1" applyFill="1" applyBorder="1" applyAlignment="1" applyProtection="1">
      <alignment horizontal="center" vertical="center" wrapText="1"/>
      <protection hidden="1"/>
    </xf>
    <xf numFmtId="4" fontId="30" fillId="59" borderId="62" xfId="0" applyNumberFormat="1" applyFont="1" applyFill="1" applyBorder="1" applyAlignment="1" applyProtection="1">
      <alignment horizontal="center" vertical="center"/>
      <protection hidden="1"/>
    </xf>
    <xf numFmtId="4" fontId="30" fillId="59" borderId="26" xfId="0" applyNumberFormat="1" applyFont="1" applyFill="1" applyBorder="1" applyAlignment="1" applyProtection="1">
      <alignment horizontal="center" vertical="center"/>
      <protection hidden="1"/>
    </xf>
    <xf numFmtId="0" fontId="29" fillId="60" borderId="99" xfId="0" applyFont="1" applyFill="1" applyBorder="1" applyAlignment="1" applyProtection="1">
      <alignment horizontal="left" vertical="center" wrapText="1"/>
      <protection hidden="1"/>
    </xf>
    <xf numFmtId="0" fontId="29" fillId="60" borderId="76" xfId="0" applyFont="1" applyFill="1" applyBorder="1" applyAlignment="1" applyProtection="1">
      <alignment horizontal="left" vertical="center" wrapText="1"/>
      <protection hidden="1"/>
    </xf>
    <xf numFmtId="0" fontId="29" fillId="60" borderId="100" xfId="0" applyFont="1" applyFill="1" applyBorder="1" applyAlignment="1" applyProtection="1">
      <alignment horizontal="left" vertical="center" wrapText="1"/>
      <protection hidden="1"/>
    </xf>
    <xf numFmtId="0" fontId="29" fillId="60" borderId="66" xfId="0" applyFont="1" applyFill="1" applyBorder="1" applyAlignment="1" applyProtection="1">
      <alignment horizontal="left" vertical="center" wrapText="1"/>
      <protection hidden="1"/>
    </xf>
    <xf numFmtId="0" fontId="29" fillId="0" borderId="109" xfId="0" applyFont="1" applyFill="1" applyBorder="1" applyAlignment="1" applyProtection="1">
      <alignment horizontal="center" vertical="center" wrapText="1"/>
      <protection hidden="1"/>
    </xf>
    <xf numFmtId="0" fontId="29" fillId="0" borderId="110" xfId="0" applyFont="1" applyFill="1" applyBorder="1" applyAlignment="1" applyProtection="1">
      <alignment horizontal="center" vertical="center" wrapText="1"/>
      <protection hidden="1"/>
    </xf>
    <xf numFmtId="0" fontId="30" fillId="61" borderId="17" xfId="0" applyNumberFormat="1" applyFont="1" applyFill="1" applyBorder="1" applyAlignment="1" applyProtection="1">
      <alignment horizontal="center" vertical="center" wrapText="1"/>
      <protection hidden="1"/>
    </xf>
    <xf numFmtId="0" fontId="30" fillId="61" borderId="20" xfId="0" applyNumberFormat="1" applyFont="1" applyFill="1" applyBorder="1" applyAlignment="1" applyProtection="1">
      <alignment horizontal="center" vertical="center" wrapText="1"/>
      <protection hidden="1"/>
    </xf>
    <xf numFmtId="0" fontId="30" fillId="61" borderId="15" xfId="0" applyNumberFormat="1" applyFont="1" applyFill="1" applyBorder="1" applyAlignment="1" applyProtection="1">
      <alignment horizontal="center" vertical="center" wrapText="1"/>
      <protection hidden="1"/>
    </xf>
    <xf numFmtId="0" fontId="108" fillId="59" borderId="91" xfId="0" applyFont="1" applyFill="1" applyBorder="1" applyAlignment="1" applyProtection="1">
      <alignment horizontal="center" vertical="center" wrapText="1"/>
      <protection hidden="1"/>
    </xf>
    <xf numFmtId="0" fontId="108" fillId="59" borderId="109" xfId="0" applyFont="1" applyFill="1" applyBorder="1" applyAlignment="1" applyProtection="1">
      <alignment horizontal="center" vertical="center" wrapText="1"/>
      <protection hidden="1"/>
    </xf>
    <xf numFmtId="0" fontId="108" fillId="59" borderId="111" xfId="0" applyFont="1" applyFill="1" applyBorder="1" applyAlignment="1" applyProtection="1">
      <alignment horizontal="center" vertical="center" wrapText="1"/>
      <protection hidden="1"/>
    </xf>
    <xf numFmtId="0" fontId="108" fillId="59" borderId="110" xfId="0" applyFont="1" applyFill="1" applyBorder="1" applyAlignment="1" applyProtection="1">
      <alignment horizontal="center" vertical="center" wrapText="1"/>
      <protection hidden="1"/>
    </xf>
    <xf numFmtId="0" fontId="84" fillId="59" borderId="60" xfId="0" applyFont="1" applyFill="1" applyBorder="1" applyAlignment="1" applyProtection="1">
      <alignment horizontal="center" vertical="center" wrapText="1"/>
      <protection hidden="1"/>
    </xf>
    <xf numFmtId="0" fontId="84" fillId="59" borderId="61" xfId="0" applyFont="1" applyFill="1" applyBorder="1" applyAlignment="1" applyProtection="1">
      <alignment horizontal="center" vertical="center" wrapText="1"/>
      <protection hidden="1"/>
    </xf>
    <xf numFmtId="0" fontId="84" fillId="59" borderId="64" xfId="0" applyFont="1" applyFill="1" applyBorder="1" applyAlignment="1" applyProtection="1">
      <alignment horizontal="center" vertical="center" wrapText="1"/>
      <protection hidden="1"/>
    </xf>
    <xf numFmtId="0" fontId="84" fillId="59" borderId="65" xfId="0" applyFont="1" applyFill="1" applyBorder="1" applyAlignment="1" applyProtection="1">
      <alignment horizontal="center" vertical="center" wrapText="1"/>
      <protection hidden="1"/>
    </xf>
    <xf numFmtId="0" fontId="29" fillId="61" borderId="17" xfId="0" applyFont="1" applyFill="1" applyBorder="1" applyAlignment="1" applyProtection="1">
      <alignment horizontal="center" vertical="center" wrapText="1"/>
      <protection hidden="1"/>
    </xf>
    <xf numFmtId="0" fontId="29" fillId="61" borderId="20" xfId="0" applyFont="1" applyFill="1" applyBorder="1" applyAlignment="1" applyProtection="1">
      <alignment horizontal="center" vertical="center" wrapText="1"/>
      <protection hidden="1"/>
    </xf>
    <xf numFmtId="0" fontId="29" fillId="61" borderId="15" xfId="0" applyFont="1" applyFill="1" applyBorder="1" applyAlignment="1" applyProtection="1">
      <alignment horizontal="center" vertical="center" wrapText="1"/>
      <protection hidden="1"/>
    </xf>
    <xf numFmtId="0" fontId="29" fillId="0" borderId="121" xfId="0" applyFont="1" applyFill="1" applyBorder="1" applyAlignment="1" applyProtection="1">
      <alignment horizontal="center" vertical="center" wrapText="1"/>
      <protection hidden="1"/>
    </xf>
    <xf numFmtId="0" fontId="29" fillId="0" borderId="122" xfId="0" applyFont="1" applyFill="1" applyBorder="1" applyAlignment="1" applyProtection="1">
      <alignment horizontal="center" vertical="center" wrapText="1"/>
      <protection hidden="1"/>
    </xf>
    <xf numFmtId="0" fontId="29" fillId="56" borderId="28" xfId="0" applyFont="1" applyFill="1" applyBorder="1" applyAlignment="1" applyProtection="1">
      <alignment horizontal="center" vertical="center" wrapText="1"/>
      <protection hidden="1"/>
    </xf>
    <xf numFmtId="0" fontId="29" fillId="56" borderId="31" xfId="0" applyFont="1" applyFill="1" applyBorder="1" applyAlignment="1" applyProtection="1">
      <alignment horizontal="center" vertical="center" wrapText="1"/>
      <protection hidden="1"/>
    </xf>
    <xf numFmtId="0" fontId="29" fillId="61" borderId="10" xfId="0" applyFont="1" applyFill="1" applyBorder="1" applyAlignment="1" applyProtection="1">
      <alignment horizontal="center" vertical="center" wrapText="1"/>
      <protection hidden="1"/>
    </xf>
    <xf numFmtId="0" fontId="29" fillId="55" borderId="24" xfId="0" applyFont="1" applyFill="1" applyBorder="1" applyAlignment="1" applyProtection="1">
      <alignment horizontal="center" vertical="center" wrapText="1"/>
      <protection hidden="1"/>
    </xf>
    <xf numFmtId="0" fontId="29" fillId="0" borderId="28" xfId="0" applyFont="1" applyBorder="1" applyAlignment="1" applyProtection="1">
      <alignment horizontal="left" vertical="center" wrapText="1"/>
      <protection hidden="1"/>
    </xf>
    <xf numFmtId="0" fontId="29" fillId="0" borderId="31" xfId="0" applyFont="1" applyBorder="1" applyAlignment="1" applyProtection="1">
      <alignment horizontal="left" vertical="center" wrapText="1"/>
      <protection hidden="1"/>
    </xf>
    <xf numFmtId="0" fontId="29" fillId="59" borderId="124" xfId="0" applyFont="1" applyFill="1" applyBorder="1" applyAlignment="1" applyProtection="1">
      <alignment horizontal="left" vertical="center" wrapText="1"/>
      <protection hidden="1"/>
    </xf>
    <xf numFmtId="0" fontId="29" fillId="59" borderId="125" xfId="0" applyFont="1" applyFill="1" applyBorder="1" applyAlignment="1" applyProtection="1">
      <alignment horizontal="left" vertical="center" wrapText="1"/>
      <protection hidden="1"/>
    </xf>
    <xf numFmtId="0" fontId="29" fillId="0" borderId="15" xfId="0" applyFont="1" applyBorder="1" applyAlignment="1" applyProtection="1">
      <alignment horizontal="left" vertical="center" wrapText="1"/>
      <protection hidden="1"/>
    </xf>
    <xf numFmtId="0" fontId="29" fillId="46" borderId="21" xfId="0" applyFont="1" applyFill="1" applyBorder="1" applyAlignment="1" applyProtection="1">
      <alignment horizontal="left" vertical="center" wrapText="1"/>
      <protection hidden="1"/>
    </xf>
    <xf numFmtId="0" fontId="29" fillId="46" borderId="22" xfId="0" applyFont="1" applyFill="1" applyBorder="1" applyAlignment="1" applyProtection="1">
      <alignment horizontal="left" vertical="center" wrapText="1"/>
      <protection hidden="1"/>
    </xf>
    <xf numFmtId="0" fontId="74" fillId="0" borderId="0" xfId="0" applyFont="1" applyFill="1" applyBorder="1" applyAlignment="1" applyProtection="1">
      <alignment horizontal="left" vertical="center" wrapText="1"/>
      <protection hidden="1"/>
    </xf>
    <xf numFmtId="0" fontId="30" fillId="0" borderId="0" xfId="0" applyFont="1" applyBorder="1" applyAlignment="1" applyProtection="1">
      <alignment horizontal="left" vertical="center" wrapText="1"/>
      <protection hidden="1"/>
    </xf>
    <xf numFmtId="0" fontId="29" fillId="0" borderId="0" xfId="0" applyFont="1" applyBorder="1" applyAlignment="1" applyProtection="1">
      <alignment horizontal="left" vertical="top" wrapText="1"/>
      <protection hidden="1"/>
    </xf>
    <xf numFmtId="0" fontId="74" fillId="0" borderId="0" xfId="0" applyFont="1" applyFill="1" applyBorder="1" applyAlignment="1" applyProtection="1">
      <alignment horizontal="left" vertical="top" wrapText="1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84" fillId="0" borderId="28" xfId="0" applyFont="1" applyFill="1" applyBorder="1" applyAlignment="1" applyProtection="1">
      <alignment horizontal="center" vertical="center" wrapText="1"/>
      <protection hidden="1"/>
    </xf>
    <xf numFmtId="0" fontId="84" fillId="0" borderId="18" xfId="0" applyFont="1" applyFill="1" applyBorder="1" applyAlignment="1" applyProtection="1">
      <alignment horizontal="center" vertical="center"/>
      <protection hidden="1"/>
    </xf>
    <xf numFmtId="0" fontId="84" fillId="0" borderId="31" xfId="0" applyFont="1" applyFill="1" applyBorder="1" applyAlignment="1" applyProtection="1">
      <alignment horizontal="center" vertical="center"/>
      <protection hidden="1"/>
    </xf>
    <xf numFmtId="0" fontId="29" fillId="56" borderId="10" xfId="0" applyFont="1" applyFill="1" applyBorder="1" applyAlignment="1" applyProtection="1">
      <alignment horizontal="center" vertical="center"/>
      <protection hidden="1"/>
    </xf>
    <xf numFmtId="0" fontId="29" fillId="0" borderId="24" xfId="0" applyFont="1" applyBorder="1" applyAlignment="1" applyProtection="1">
      <alignment horizontal="left" vertical="center" wrapText="1"/>
      <protection hidden="1"/>
    </xf>
    <xf numFmtId="0" fontId="29" fillId="0" borderId="0" xfId="0" applyFont="1" applyBorder="1" applyAlignment="1" applyProtection="1">
      <alignment horizontal="left" vertical="center"/>
      <protection hidden="1"/>
    </xf>
    <xf numFmtId="0" fontId="84" fillId="0" borderId="11" xfId="0" applyFont="1" applyFill="1" applyBorder="1" applyAlignment="1" applyProtection="1">
      <alignment horizontal="center" vertical="center"/>
      <protection hidden="1"/>
    </xf>
    <xf numFmtId="0" fontId="84" fillId="0" borderId="12" xfId="0" applyFont="1" applyFill="1" applyBorder="1" applyAlignment="1" applyProtection="1">
      <alignment horizontal="center" vertical="center"/>
      <protection hidden="1"/>
    </xf>
    <xf numFmtId="0" fontId="84" fillId="0" borderId="13" xfId="0" applyFont="1" applyFill="1" applyBorder="1" applyAlignment="1" applyProtection="1">
      <alignment horizontal="center" vertical="center"/>
      <protection hidden="1"/>
    </xf>
    <xf numFmtId="0" fontId="30" fillId="0" borderId="10" xfId="0" applyFont="1" applyFill="1" applyBorder="1" applyAlignment="1" applyProtection="1">
      <alignment horizontal="center" vertical="center"/>
      <protection hidden="1"/>
    </xf>
    <xf numFmtId="0" fontId="36" fillId="0" borderId="16" xfId="356" applyFont="1" applyBorder="1" applyAlignment="1" applyProtection="1">
      <alignment horizontal="right" vertical="top"/>
      <protection hidden="1"/>
    </xf>
    <xf numFmtId="0" fontId="30" fillId="0" borderId="11" xfId="0" applyFont="1" applyFill="1" applyBorder="1" applyAlignment="1" applyProtection="1">
      <alignment horizontal="center" vertical="center"/>
      <protection hidden="1"/>
    </xf>
    <xf numFmtId="0" fontId="30" fillId="0" borderId="12" xfId="0" applyFont="1" applyFill="1" applyBorder="1" applyAlignment="1" applyProtection="1">
      <alignment horizontal="center" vertical="center"/>
      <protection hidden="1"/>
    </xf>
    <xf numFmtId="0" fontId="30" fillId="0" borderId="13" xfId="0" applyFont="1" applyFill="1" applyBorder="1" applyAlignment="1" applyProtection="1">
      <alignment horizontal="center" vertical="center"/>
      <protection hidden="1"/>
    </xf>
    <xf numFmtId="0" fontId="84" fillId="0" borderId="69" xfId="0" applyFont="1" applyFill="1" applyBorder="1" applyAlignment="1" applyProtection="1">
      <alignment horizontal="center" vertical="center"/>
      <protection hidden="1"/>
    </xf>
    <xf numFmtId="0" fontId="84" fillId="0" borderId="70" xfId="0" applyFont="1" applyFill="1" applyBorder="1" applyAlignment="1" applyProtection="1">
      <alignment horizontal="center" vertical="center"/>
      <protection hidden="1"/>
    </xf>
    <xf numFmtId="0" fontId="84" fillId="0" borderId="71" xfId="0" applyFont="1" applyFill="1" applyBorder="1" applyAlignment="1" applyProtection="1">
      <alignment horizontal="center" vertical="center"/>
      <protection hidden="1"/>
    </xf>
    <xf numFmtId="0" fontId="84" fillId="0" borderId="23" xfId="0" applyFont="1" applyFill="1" applyBorder="1" applyAlignment="1" applyProtection="1">
      <alignment horizontal="center" vertical="center"/>
      <protection hidden="1"/>
    </xf>
    <xf numFmtId="0" fontId="84" fillId="0" borderId="0" xfId="0" applyFont="1" applyFill="1" applyBorder="1" applyAlignment="1" applyProtection="1">
      <alignment horizontal="center" vertical="center"/>
      <protection hidden="1"/>
    </xf>
    <xf numFmtId="0" fontId="84" fillId="0" borderId="24" xfId="0" applyFont="1" applyFill="1" applyBorder="1" applyAlignment="1" applyProtection="1">
      <alignment horizontal="center" vertical="center"/>
      <protection hidden="1"/>
    </xf>
    <xf numFmtId="0" fontId="84" fillId="0" borderId="25" xfId="0" applyFont="1" applyFill="1" applyBorder="1" applyAlignment="1" applyProtection="1">
      <alignment horizontal="center" vertical="center"/>
      <protection hidden="1"/>
    </xf>
    <xf numFmtId="0" fontId="84" fillId="0" borderId="16" xfId="0" applyFont="1" applyFill="1" applyBorder="1" applyAlignment="1" applyProtection="1">
      <alignment horizontal="center" vertical="center"/>
      <protection hidden="1"/>
    </xf>
    <xf numFmtId="0" fontId="84" fillId="0" borderId="38" xfId="0" applyFont="1" applyFill="1" applyBorder="1" applyAlignment="1" applyProtection="1">
      <alignment horizontal="center" vertical="center"/>
      <protection hidden="1"/>
    </xf>
    <xf numFmtId="0" fontId="29" fillId="0" borderId="17" xfId="0" applyFont="1" applyFill="1" applyBorder="1" applyAlignment="1" applyProtection="1">
      <alignment horizontal="left" vertical="center" wrapText="1"/>
      <protection hidden="1"/>
    </xf>
    <xf numFmtId="0" fontId="29" fillId="0" borderId="20" xfId="0" applyFont="1" applyFill="1" applyBorder="1" applyAlignment="1" applyProtection="1">
      <alignment horizontal="left" vertical="center" wrapText="1"/>
      <protection hidden="1"/>
    </xf>
    <xf numFmtId="0" fontId="29" fillId="0" borderId="15" xfId="0" applyFont="1" applyFill="1" applyBorder="1" applyAlignment="1" applyProtection="1">
      <alignment horizontal="left" vertical="center" wrapText="1"/>
      <protection hidden="1"/>
    </xf>
    <xf numFmtId="0" fontId="29" fillId="0" borderId="28" xfId="0" applyFont="1" applyFill="1" applyBorder="1" applyAlignment="1" applyProtection="1">
      <alignment horizontal="left" vertical="center" wrapText="1"/>
      <protection hidden="1"/>
    </xf>
    <xf numFmtId="0" fontId="29" fillId="0" borderId="31" xfId="0" applyFont="1" applyFill="1" applyBorder="1" applyAlignment="1" applyProtection="1">
      <alignment horizontal="left" vertical="center" wrapText="1"/>
      <protection hidden="1"/>
    </xf>
    <xf numFmtId="0" fontId="29" fillId="0" borderId="28" xfId="0" applyFont="1" applyBorder="1" applyAlignment="1" applyProtection="1">
      <alignment horizontal="left" vertical="center"/>
      <protection hidden="1"/>
    </xf>
    <xf numFmtId="0" fontId="29" fillId="0" borderId="31" xfId="0" applyFont="1" applyBorder="1" applyAlignment="1" applyProtection="1">
      <alignment horizontal="left" vertical="center"/>
      <protection hidden="1"/>
    </xf>
    <xf numFmtId="0" fontId="84" fillId="0" borderId="28" xfId="0" applyFont="1" applyFill="1" applyBorder="1" applyAlignment="1" applyProtection="1">
      <alignment horizontal="center" vertical="center"/>
      <protection hidden="1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0" fontId="29" fillId="0" borderId="17" xfId="0" applyFont="1" applyBorder="1" applyAlignment="1" applyProtection="1">
      <alignment horizontal="left" vertical="center" wrapText="1"/>
      <protection hidden="1"/>
    </xf>
    <xf numFmtId="0" fontId="30" fillId="0" borderId="17" xfId="0" applyFont="1" applyFill="1" applyBorder="1" applyAlignment="1" applyProtection="1">
      <alignment horizontal="center" vertical="center" wrapText="1"/>
      <protection hidden="1"/>
    </xf>
    <xf numFmtId="0" fontId="30" fillId="0" borderId="20" xfId="0" applyFont="1" applyFill="1" applyBorder="1" applyAlignment="1" applyProtection="1">
      <alignment horizontal="center" vertical="center" wrapText="1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29" fillId="0" borderId="18" xfId="0" applyFont="1" applyFill="1" applyBorder="1" applyAlignment="1" applyProtection="1">
      <alignment horizontal="left" vertical="center" wrapText="1"/>
      <protection hidden="1"/>
    </xf>
    <xf numFmtId="0" fontId="92" fillId="47" borderId="10" xfId="0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left" vertical="center" wrapText="1"/>
    </xf>
    <xf numFmtId="0" fontId="68" fillId="0" borderId="19" xfId="0" applyFont="1" applyFill="1" applyBorder="1" applyAlignment="1">
      <alignment horizontal="left" vertical="center" wrapText="1"/>
    </xf>
    <xf numFmtId="0" fontId="68" fillId="0" borderId="22" xfId="0" applyFont="1" applyFill="1" applyBorder="1" applyAlignment="1">
      <alignment horizontal="left" vertical="center" wrapText="1"/>
    </xf>
    <xf numFmtId="0" fontId="68" fillId="0" borderId="23" xfId="0" applyFont="1" applyFill="1" applyBorder="1" applyAlignment="1">
      <alignment horizontal="left" vertical="center" wrapText="1"/>
    </xf>
    <xf numFmtId="0" fontId="68" fillId="0" borderId="0" xfId="0" applyFont="1" applyFill="1" applyBorder="1" applyAlignment="1">
      <alignment horizontal="left" vertical="center" wrapText="1"/>
    </xf>
    <xf numFmtId="0" fontId="68" fillId="0" borderId="24" xfId="0" applyFont="1" applyFill="1" applyBorder="1" applyAlignment="1">
      <alignment horizontal="left" vertical="center" wrapText="1"/>
    </xf>
    <xf numFmtId="0" fontId="68" fillId="0" borderId="25" xfId="0" applyFont="1" applyFill="1" applyBorder="1" applyAlignment="1">
      <alignment horizontal="left" vertical="center" wrapText="1"/>
    </xf>
    <xf numFmtId="0" fontId="68" fillId="0" borderId="16" xfId="0" applyFont="1" applyFill="1" applyBorder="1" applyAlignment="1">
      <alignment horizontal="left" vertical="center" wrapText="1"/>
    </xf>
    <xf numFmtId="0" fontId="68" fillId="0" borderId="38" xfId="0" applyFont="1" applyFill="1" applyBorder="1" applyAlignment="1">
      <alignment horizontal="left" vertical="center" wrapText="1"/>
    </xf>
    <xf numFmtId="0" fontId="29" fillId="56" borderId="10" xfId="0" applyFont="1" applyFill="1" applyBorder="1" applyAlignment="1">
      <alignment horizontal="center" vertical="center"/>
    </xf>
    <xf numFmtId="0" fontId="92" fillId="56" borderId="10" xfId="0" applyFont="1" applyFill="1" applyBorder="1" applyAlignment="1">
      <alignment horizontal="center" vertical="center"/>
    </xf>
    <xf numFmtId="0" fontId="29" fillId="47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29" fillId="47" borderId="10" xfId="0" applyFont="1" applyFill="1" applyBorder="1" applyAlignment="1">
      <alignment horizontal="center" vertical="center" wrapText="1"/>
    </xf>
    <xf numFmtId="0" fontId="29" fillId="47" borderId="17" xfId="0" applyFont="1" applyFill="1" applyBorder="1" applyAlignment="1">
      <alignment horizontal="center" vertical="center" wrapText="1"/>
    </xf>
    <xf numFmtId="0" fontId="29" fillId="47" borderId="20" xfId="0" applyFont="1" applyFill="1" applyBorder="1" applyAlignment="1">
      <alignment horizontal="center" vertical="center" wrapText="1"/>
    </xf>
    <xf numFmtId="0" fontId="29" fillId="47" borderId="15" xfId="0" applyFont="1" applyFill="1" applyBorder="1" applyAlignment="1">
      <alignment horizontal="center" vertical="center" wrapText="1"/>
    </xf>
    <xf numFmtId="0" fontId="29" fillId="47" borderId="17" xfId="0" applyFont="1" applyFill="1" applyBorder="1" applyAlignment="1">
      <alignment horizontal="center" vertical="center"/>
    </xf>
    <xf numFmtId="0" fontId="29" fillId="47" borderId="20" xfId="0" applyFont="1" applyFill="1" applyBorder="1" applyAlignment="1">
      <alignment horizontal="center" vertical="center"/>
    </xf>
    <xf numFmtId="0" fontId="29" fillId="47" borderId="15" xfId="0" applyFont="1" applyFill="1" applyBorder="1" applyAlignment="1">
      <alignment horizontal="center" vertical="center"/>
    </xf>
    <xf numFmtId="0" fontId="29" fillId="47" borderId="28" xfId="0" applyFont="1" applyFill="1" applyBorder="1" applyAlignment="1">
      <alignment horizontal="center" vertical="center"/>
    </xf>
    <xf numFmtId="0" fontId="29" fillId="47" borderId="18" xfId="0" applyFont="1" applyFill="1" applyBorder="1" applyAlignment="1">
      <alignment horizontal="center" vertical="center"/>
    </xf>
    <xf numFmtId="0" fontId="29" fillId="47" borderId="31" xfId="0" applyFont="1" applyFill="1" applyBorder="1" applyAlignment="1">
      <alignment horizontal="center" vertical="center"/>
    </xf>
    <xf numFmtId="0" fontId="29" fillId="50" borderId="28" xfId="0" applyFont="1" applyFill="1" applyBorder="1" applyAlignment="1">
      <alignment horizontal="center" vertical="center"/>
    </xf>
    <xf numFmtId="0" fontId="29" fillId="50" borderId="18" xfId="0" applyFont="1" applyFill="1" applyBorder="1" applyAlignment="1">
      <alignment horizontal="center" vertical="center"/>
    </xf>
    <xf numFmtId="0" fontId="29" fillId="50" borderId="31" xfId="0" applyFont="1" applyFill="1" applyBorder="1" applyAlignment="1">
      <alignment horizontal="center" vertical="center"/>
    </xf>
    <xf numFmtId="0" fontId="29" fillId="50" borderId="28" xfId="0" applyFont="1" applyFill="1" applyBorder="1" applyAlignment="1">
      <alignment horizontal="center" vertical="center" wrapText="1"/>
    </xf>
    <xf numFmtId="0" fontId="29" fillId="50" borderId="18" xfId="0" applyFont="1" applyFill="1" applyBorder="1" applyAlignment="1">
      <alignment horizontal="center" vertical="center" wrapText="1"/>
    </xf>
    <xf numFmtId="0" fontId="29" fillId="50" borderId="31" xfId="0" applyFont="1" applyFill="1" applyBorder="1" applyAlignment="1">
      <alignment horizontal="center" vertical="center" wrapText="1"/>
    </xf>
    <xf numFmtId="0" fontId="34" fillId="0" borderId="35" xfId="0" applyFont="1" applyFill="1" applyBorder="1" applyAlignment="1">
      <alignment horizontal="center" vertical="center"/>
    </xf>
    <xf numFmtId="0" fontId="34" fillId="0" borderId="36" xfId="0" applyFont="1" applyFill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93" fillId="0" borderId="37" xfId="0" applyFont="1" applyBorder="1" applyAlignment="1">
      <alignment horizontal="center" vertical="center"/>
    </xf>
    <xf numFmtId="0" fontId="93" fillId="0" borderId="32" xfId="0" applyFont="1" applyBorder="1" applyAlignment="1">
      <alignment horizontal="center" vertical="center"/>
    </xf>
    <xf numFmtId="0" fontId="93" fillId="0" borderId="33" xfId="0" applyFont="1" applyBorder="1" applyAlignment="1">
      <alignment horizontal="center" vertical="center"/>
    </xf>
    <xf numFmtId="0" fontId="93" fillId="0" borderId="34" xfId="0" applyFont="1" applyBorder="1" applyAlignment="1">
      <alignment horizontal="center" vertical="center"/>
    </xf>
    <xf numFmtId="0" fontId="34" fillId="0" borderId="33" xfId="0" applyFont="1" applyFill="1" applyBorder="1" applyAlignment="1">
      <alignment horizontal="center" vertical="center"/>
    </xf>
    <xf numFmtId="0" fontId="34" fillId="0" borderId="34" xfId="0" applyFont="1" applyFill="1" applyBorder="1" applyAlignment="1">
      <alignment horizontal="center" vertical="center"/>
    </xf>
    <xf numFmtId="0" fontId="34" fillId="0" borderId="37" xfId="0" applyFont="1" applyFill="1" applyBorder="1" applyAlignment="1">
      <alignment horizontal="center" vertical="center"/>
    </xf>
    <xf numFmtId="0" fontId="34" fillId="0" borderId="32" xfId="0" applyFont="1" applyFill="1" applyBorder="1" applyAlignment="1">
      <alignment horizontal="center" vertical="center"/>
    </xf>
    <xf numFmtId="2" fontId="29" fillId="0" borderId="17" xfId="0" applyNumberFormat="1" applyFont="1" applyBorder="1" applyAlignment="1">
      <alignment horizontal="center" vertical="center" wrapText="1"/>
    </xf>
    <xf numFmtId="2" fontId="29" fillId="0" borderId="15" xfId="0" applyNumberFormat="1" applyFont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 wrapText="1"/>
    </xf>
    <xf numFmtId="2" fontId="29" fillId="0" borderId="10" xfId="0" applyNumberFormat="1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3" fontId="30" fillId="0" borderId="10" xfId="0" applyNumberFormat="1" applyFont="1" applyFill="1" applyBorder="1" applyAlignment="1">
      <alignment horizontal="center" vertical="center" wrapText="1"/>
    </xf>
    <xf numFmtId="0" fontId="29" fillId="47" borderId="28" xfId="305" applyFont="1" applyFill="1" applyBorder="1" applyAlignment="1">
      <alignment horizontal="center" vertical="center" wrapText="1"/>
    </xf>
    <xf numFmtId="0" fontId="29" fillId="47" borderId="18" xfId="305" applyFont="1" applyFill="1" applyBorder="1" applyAlignment="1">
      <alignment horizontal="center" vertical="center" wrapText="1"/>
    </xf>
    <xf numFmtId="0" fontId="29" fillId="47" borderId="31" xfId="305" applyFont="1" applyFill="1" applyBorder="1" applyAlignment="1">
      <alignment horizontal="center" vertical="center" wrapText="1"/>
    </xf>
    <xf numFmtId="0" fontId="30" fillId="0" borderId="21" xfId="305" applyFont="1" applyFill="1" applyBorder="1" applyAlignment="1">
      <alignment horizontal="left" vertical="center" wrapText="1"/>
    </xf>
    <xf numFmtId="0" fontId="30" fillId="0" borderId="22" xfId="305" applyFont="1" applyFill="1" applyBorder="1" applyAlignment="1">
      <alignment horizontal="left" vertical="center" wrapText="1"/>
    </xf>
    <xf numFmtId="0" fontId="30" fillId="0" borderId="25" xfId="305" applyFont="1" applyFill="1" applyBorder="1" applyAlignment="1">
      <alignment horizontal="left" vertical="center" wrapText="1"/>
    </xf>
    <xf numFmtId="0" fontId="30" fillId="0" borderId="38" xfId="305" applyFont="1" applyFill="1" applyBorder="1" applyAlignment="1">
      <alignment horizontal="left" vertical="center" wrapText="1"/>
    </xf>
    <xf numFmtId="0" fontId="30" fillId="0" borderId="19" xfId="305" applyFont="1" applyFill="1" applyBorder="1" applyAlignment="1">
      <alignment horizontal="center" vertical="center" wrapText="1"/>
    </xf>
    <xf numFmtId="0" fontId="30" fillId="0" borderId="22" xfId="305" applyFont="1" applyFill="1" applyBorder="1" applyAlignment="1">
      <alignment horizontal="center" vertical="center" wrapText="1"/>
    </xf>
    <xf numFmtId="0" fontId="30" fillId="0" borderId="16" xfId="305" applyFont="1" applyFill="1" applyBorder="1" applyAlignment="1">
      <alignment horizontal="center" vertical="center" wrapText="1"/>
    </xf>
    <xf numFmtId="0" fontId="30" fillId="0" borderId="38" xfId="305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left" vertical="center" wrapText="1"/>
    </xf>
    <xf numFmtId="0" fontId="68" fillId="0" borderId="18" xfId="0" applyFont="1" applyBorder="1" applyAlignment="1">
      <alignment horizontal="center" vertical="center" wrapText="1"/>
    </xf>
    <xf numFmtId="0" fontId="68" fillId="0" borderId="31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left" vertical="center" wrapText="1"/>
    </xf>
    <xf numFmtId="0" fontId="34" fillId="0" borderId="18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38" xfId="0" applyFont="1" applyBorder="1" applyAlignment="1">
      <alignment horizontal="left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29" fillId="56" borderId="28" xfId="0" applyFont="1" applyFill="1" applyBorder="1" applyAlignment="1">
      <alignment horizontal="center" vertical="center"/>
    </xf>
    <xf numFmtId="0" fontId="29" fillId="56" borderId="3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3" fontId="30" fillId="0" borderId="0" xfId="0" applyNumberFormat="1" applyFont="1" applyFill="1" applyBorder="1" applyAlignment="1">
      <alignment horizontal="center" vertical="center" wrapText="1"/>
    </xf>
    <xf numFmtId="0" fontId="29" fillId="47" borderId="10" xfId="305" applyFont="1" applyFill="1" applyBorder="1" applyAlignment="1">
      <alignment horizontal="center" vertical="center"/>
    </xf>
    <xf numFmtId="0" fontId="30" fillId="0" borderId="10" xfId="305" applyFont="1" applyFill="1" applyBorder="1" applyAlignment="1">
      <alignment horizontal="center" vertical="center" wrapText="1"/>
    </xf>
    <xf numFmtId="0" fontId="30" fillId="0" borderId="10" xfId="305" applyFont="1" applyFill="1" applyBorder="1" applyAlignment="1">
      <alignment horizontal="center" vertical="center"/>
    </xf>
    <xf numFmtId="0" fontId="68" fillId="0" borderId="10" xfId="0" applyFont="1" applyFill="1" applyBorder="1" applyAlignment="1">
      <alignment horizontal="left" vertical="center" wrapText="1"/>
    </xf>
    <xf numFmtId="0" fontId="29" fillId="47" borderId="28" xfId="0" applyFont="1" applyFill="1" applyBorder="1" applyAlignment="1">
      <alignment horizontal="center" vertical="center" wrapText="1"/>
    </xf>
    <xf numFmtId="0" fontId="29" fillId="47" borderId="31" xfId="0" applyFont="1" applyFill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92" fillId="50" borderId="28" xfId="0" applyFont="1" applyFill="1" applyBorder="1" applyAlignment="1">
      <alignment horizontal="center" vertical="center"/>
    </xf>
    <xf numFmtId="0" fontId="92" fillId="50" borderId="31" xfId="0" applyFont="1" applyFill="1" applyBorder="1" applyAlignment="1">
      <alignment horizontal="center" vertical="center"/>
    </xf>
    <xf numFmtId="0" fontId="92" fillId="56" borderId="28" xfId="0" applyFont="1" applyFill="1" applyBorder="1" applyAlignment="1">
      <alignment horizontal="center" vertical="center"/>
    </xf>
    <xf numFmtId="0" fontId="92" fillId="56" borderId="18" xfId="0" applyFont="1" applyFill="1" applyBorder="1" applyAlignment="1">
      <alignment horizontal="center" vertical="center"/>
    </xf>
    <xf numFmtId="0" fontId="92" fillId="56" borderId="31" xfId="0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52" fillId="48" borderId="28" xfId="357" applyFont="1" applyFill="1" applyBorder="1" applyAlignment="1">
      <alignment horizontal="center" vertical="center" wrapText="1"/>
    </xf>
    <xf numFmtId="0" fontId="52" fillId="48" borderId="18" xfId="357" applyFont="1" applyFill="1" applyBorder="1" applyAlignment="1">
      <alignment horizontal="center" vertical="center" wrapText="1"/>
    </xf>
    <xf numFmtId="0" fontId="52" fillId="48" borderId="31" xfId="357" applyFont="1" applyFill="1" applyBorder="1" applyAlignment="1">
      <alignment horizontal="center" vertical="center" wrapText="1"/>
    </xf>
    <xf numFmtId="0" fontId="29" fillId="47" borderId="21" xfId="0" applyFont="1" applyFill="1" applyBorder="1" applyAlignment="1">
      <alignment horizontal="center" vertical="center" wrapText="1"/>
    </xf>
    <xf numFmtId="0" fontId="29" fillId="47" borderId="22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2" fontId="30" fillId="0" borderId="10" xfId="0" applyNumberFormat="1" applyFont="1" applyBorder="1" applyAlignment="1">
      <alignment horizontal="center" vertical="center" wrapText="1"/>
    </xf>
    <xf numFmtId="0" fontId="29" fillId="56" borderId="17" xfId="0" applyFont="1" applyFill="1" applyBorder="1" applyAlignment="1">
      <alignment horizontal="center" vertical="center" wrapText="1"/>
    </xf>
    <xf numFmtId="0" fontId="29" fillId="56" borderId="15" xfId="0" applyFont="1" applyFill="1" applyBorder="1" applyAlignment="1">
      <alignment horizontal="center" vertical="center" wrapText="1"/>
    </xf>
    <xf numFmtId="2" fontId="33" fillId="0" borderId="10" xfId="0" applyNumberFormat="1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9" fontId="53" fillId="0" borderId="10" xfId="373" applyFont="1" applyBorder="1" applyAlignment="1">
      <alignment horizontal="center" vertical="center"/>
    </xf>
    <xf numFmtId="0" fontId="29" fillId="56" borderId="10" xfId="0" applyFont="1" applyFill="1" applyBorder="1" applyAlignment="1">
      <alignment horizontal="center" vertical="center" wrapText="1"/>
    </xf>
    <xf numFmtId="1" fontId="33" fillId="0" borderId="10" xfId="0" applyNumberFormat="1" applyFont="1" applyBorder="1" applyAlignment="1">
      <alignment horizontal="center" vertical="center" wrapText="1"/>
    </xf>
    <xf numFmtId="1" fontId="34" fillId="0" borderId="21" xfId="0" applyNumberFormat="1" applyFont="1" applyBorder="1" applyAlignment="1">
      <alignment horizontal="center" vertical="center" wrapText="1"/>
    </xf>
    <xf numFmtId="1" fontId="34" fillId="0" borderId="22" xfId="0" applyNumberFormat="1" applyFont="1" applyBorder="1" applyAlignment="1">
      <alignment horizontal="center" vertical="center" wrapText="1"/>
    </xf>
    <xf numFmtId="1" fontId="34" fillId="0" borderId="23" xfId="0" applyNumberFormat="1" applyFont="1" applyBorder="1" applyAlignment="1">
      <alignment horizontal="center" vertical="center" wrapText="1"/>
    </xf>
    <xf numFmtId="1" fontId="34" fillId="0" borderId="24" xfId="0" applyNumberFormat="1" applyFont="1" applyBorder="1" applyAlignment="1">
      <alignment horizontal="center" vertical="center" wrapText="1"/>
    </xf>
    <xf numFmtId="1" fontId="34" fillId="0" borderId="25" xfId="0" applyNumberFormat="1" applyFont="1" applyBorder="1" applyAlignment="1">
      <alignment horizontal="center" vertical="center" wrapText="1"/>
    </xf>
    <xf numFmtId="1" fontId="34" fillId="0" borderId="38" xfId="0" applyNumberFormat="1" applyFont="1" applyBorder="1" applyAlignment="1">
      <alignment horizontal="center" vertical="center" wrapText="1"/>
    </xf>
    <xf numFmtId="0" fontId="68" fillId="49" borderId="0" xfId="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/>
    </xf>
    <xf numFmtId="0" fontId="29" fillId="56" borderId="18" xfId="0" applyFont="1" applyFill="1" applyBorder="1" applyAlignment="1">
      <alignment horizontal="center" vertical="center"/>
    </xf>
    <xf numFmtId="0" fontId="29" fillId="47" borderId="35" xfId="0" applyFont="1" applyFill="1" applyBorder="1" applyAlignment="1">
      <alignment horizontal="center" vertical="center" wrapText="1"/>
    </xf>
    <xf numFmtId="0" fontId="29" fillId="47" borderId="36" xfId="0" applyFont="1" applyFill="1" applyBorder="1" applyAlignment="1">
      <alignment horizontal="center" vertical="center" wrapText="1"/>
    </xf>
    <xf numFmtId="0" fontId="29" fillId="47" borderId="33" xfId="0" applyFont="1" applyFill="1" applyBorder="1" applyAlignment="1">
      <alignment horizontal="center" vertical="center" wrapText="1"/>
    </xf>
    <xf numFmtId="0" fontId="29" fillId="47" borderId="34" xfId="0" applyFont="1" applyFill="1" applyBorder="1" applyAlignment="1">
      <alignment horizontal="center" vertical="center" wrapText="1"/>
    </xf>
    <xf numFmtId="0" fontId="30" fillId="0" borderId="54" xfId="0" applyFont="1" applyFill="1" applyBorder="1" applyAlignment="1">
      <alignment horizontal="center" vertical="center"/>
    </xf>
    <xf numFmtId="0" fontId="30" fillId="0" borderId="55" xfId="0" applyFont="1" applyFill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2" fontId="29" fillId="0" borderId="21" xfId="0" applyNumberFormat="1" applyFont="1" applyBorder="1" applyAlignment="1">
      <alignment horizontal="center" vertical="center" wrapText="1"/>
    </xf>
    <xf numFmtId="2" fontId="29" fillId="0" borderId="22" xfId="0" applyNumberFormat="1" applyFont="1" applyBorder="1" applyAlignment="1">
      <alignment horizontal="center" vertical="center" wrapText="1"/>
    </xf>
    <xf numFmtId="2" fontId="29" fillId="0" borderId="23" xfId="0" applyNumberFormat="1" applyFont="1" applyBorder="1" applyAlignment="1">
      <alignment horizontal="center" vertical="center" wrapText="1"/>
    </xf>
    <xf numFmtId="2" fontId="29" fillId="0" borderId="24" xfId="0" applyNumberFormat="1" applyFont="1" applyBorder="1" applyAlignment="1">
      <alignment horizontal="center" vertical="center" wrapText="1"/>
    </xf>
    <xf numFmtId="2" fontId="29" fillId="0" borderId="25" xfId="0" applyNumberFormat="1" applyFont="1" applyBorder="1" applyAlignment="1">
      <alignment horizontal="center" vertical="center" wrapText="1"/>
    </xf>
    <xf numFmtId="2" fontId="29" fillId="0" borderId="38" xfId="0" applyNumberFormat="1" applyFont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left" vertical="top" wrapText="1"/>
    </xf>
    <xf numFmtId="0" fontId="30" fillId="0" borderId="18" xfId="0" applyFont="1" applyFill="1" applyBorder="1" applyAlignment="1">
      <alignment horizontal="left" vertical="top" wrapText="1"/>
    </xf>
    <xf numFmtId="0" fontId="30" fillId="0" borderId="17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3" fontId="34" fillId="0" borderId="28" xfId="0" applyNumberFormat="1" applyFont="1" applyFill="1" applyBorder="1" applyAlignment="1">
      <alignment horizontal="center" vertical="center"/>
    </xf>
    <xf numFmtId="3" fontId="34" fillId="0" borderId="18" xfId="0" applyNumberFormat="1" applyFont="1" applyFill="1" applyBorder="1" applyAlignment="1">
      <alignment horizontal="center" vertical="center"/>
    </xf>
    <xf numFmtId="3" fontId="34" fillId="0" borderId="31" xfId="0" applyNumberFormat="1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left" vertical="center"/>
    </xf>
    <xf numFmtId="0" fontId="29" fillId="47" borderId="18" xfId="0" applyFont="1" applyFill="1" applyBorder="1" applyAlignment="1">
      <alignment horizontal="center" vertical="center" wrapText="1"/>
    </xf>
    <xf numFmtId="3" fontId="30" fillId="0" borderId="28" xfId="0" applyNumberFormat="1" applyFont="1" applyFill="1" applyBorder="1" applyAlignment="1">
      <alignment horizontal="center" vertical="center"/>
    </xf>
    <xf numFmtId="3" fontId="30" fillId="0" borderId="18" xfId="0" applyNumberFormat="1" applyFont="1" applyFill="1" applyBorder="1" applyAlignment="1">
      <alignment horizontal="center" vertical="center"/>
    </xf>
    <xf numFmtId="3" fontId="30" fillId="0" borderId="31" xfId="0" applyNumberFormat="1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29" fillId="47" borderId="58" xfId="0" applyFont="1" applyFill="1" applyBorder="1" applyAlignment="1">
      <alignment horizontal="left" vertical="center"/>
    </xf>
    <xf numFmtId="0" fontId="29" fillId="47" borderId="18" xfId="0" applyFont="1" applyFill="1" applyBorder="1" applyAlignment="1">
      <alignment horizontal="left" vertical="center"/>
    </xf>
    <xf numFmtId="0" fontId="29" fillId="47" borderId="31" xfId="0" applyFont="1" applyFill="1" applyBorder="1" applyAlignment="1">
      <alignment horizontal="left" vertical="center"/>
    </xf>
    <xf numFmtId="0" fontId="36" fillId="0" borderId="16" xfId="0" applyFont="1" applyBorder="1" applyAlignment="1">
      <alignment horizontal="center" vertical="center"/>
    </xf>
    <xf numFmtId="0" fontId="34" fillId="0" borderId="28" xfId="0" applyFont="1" applyFill="1" applyBorder="1" applyAlignment="1">
      <alignment horizontal="left" vertical="top" wrapText="1"/>
    </xf>
    <xf numFmtId="0" fontId="34" fillId="0" borderId="18" xfId="0" applyFont="1" applyFill="1" applyBorder="1" applyAlignment="1">
      <alignment horizontal="left" vertical="top" wrapText="1"/>
    </xf>
    <xf numFmtId="0" fontId="34" fillId="0" borderId="31" xfId="0" applyFont="1" applyFill="1" applyBorder="1" applyAlignment="1">
      <alignment horizontal="left" vertical="top" wrapText="1"/>
    </xf>
    <xf numFmtId="0" fontId="29" fillId="47" borderId="28" xfId="0" applyFont="1" applyFill="1" applyBorder="1" applyAlignment="1">
      <alignment horizontal="left" vertical="center"/>
    </xf>
    <xf numFmtId="0" fontId="30" fillId="0" borderId="30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9" fillId="56" borderId="28" xfId="0" applyFont="1" applyFill="1" applyBorder="1" applyAlignment="1">
      <alignment horizontal="left" vertical="center" wrapText="1"/>
    </xf>
    <xf numFmtId="0" fontId="29" fillId="56" borderId="18" xfId="0" applyFont="1" applyFill="1" applyBorder="1" applyAlignment="1">
      <alignment horizontal="left" vertical="center" wrapText="1"/>
    </xf>
    <xf numFmtId="0" fontId="29" fillId="56" borderId="31" xfId="0" applyFont="1" applyFill="1" applyBorder="1" applyAlignment="1">
      <alignment horizontal="left" vertical="center" wrapText="1"/>
    </xf>
    <xf numFmtId="0" fontId="47" fillId="48" borderId="10" xfId="357" applyFont="1" applyFill="1" applyBorder="1" applyAlignment="1">
      <alignment horizontal="center" vertical="center" wrapText="1"/>
    </xf>
    <xf numFmtId="9" fontId="45" fillId="0" borderId="10" xfId="373" applyFont="1" applyBorder="1" applyAlignment="1">
      <alignment horizontal="center" vertical="center"/>
    </xf>
    <xf numFmtId="4" fontId="30" fillId="0" borderId="35" xfId="355" applyNumberFormat="1" applyFont="1" applyFill="1" applyBorder="1" applyAlignment="1">
      <alignment horizontal="center" vertical="center" wrapText="1"/>
    </xf>
    <xf numFmtId="4" fontId="30" fillId="0" borderId="41" xfId="355" applyNumberFormat="1" applyFont="1" applyFill="1" applyBorder="1" applyAlignment="1">
      <alignment horizontal="center" vertical="center" wrapText="1"/>
    </xf>
    <xf numFmtId="4" fontId="30" fillId="0" borderId="36" xfId="355" applyNumberFormat="1" applyFont="1" applyFill="1" applyBorder="1" applyAlignment="1">
      <alignment horizontal="center" vertical="center" wrapText="1"/>
    </xf>
    <xf numFmtId="4" fontId="30" fillId="0" borderId="37" xfId="355" applyNumberFormat="1" applyFont="1" applyFill="1" applyBorder="1" applyAlignment="1">
      <alignment horizontal="center" vertical="center" wrapText="1"/>
    </xf>
    <xf numFmtId="4" fontId="30" fillId="0" borderId="57" xfId="355" applyNumberFormat="1" applyFont="1" applyFill="1" applyBorder="1" applyAlignment="1">
      <alignment horizontal="center" vertical="center" wrapText="1"/>
    </xf>
    <xf numFmtId="4" fontId="30" fillId="0" borderId="32" xfId="355" applyNumberFormat="1" applyFont="1" applyFill="1" applyBorder="1" applyAlignment="1">
      <alignment horizontal="center" vertical="center" wrapText="1"/>
    </xf>
    <xf numFmtId="4" fontId="30" fillId="0" borderId="33" xfId="355" applyNumberFormat="1" applyFont="1" applyFill="1" applyBorder="1" applyAlignment="1">
      <alignment horizontal="center" vertical="center" wrapText="1"/>
    </xf>
    <xf numFmtId="4" fontId="30" fillId="0" borderId="40" xfId="355" applyNumberFormat="1" applyFont="1" applyFill="1" applyBorder="1" applyAlignment="1">
      <alignment horizontal="center" vertical="center" wrapText="1"/>
    </xf>
    <xf numFmtId="4" fontId="30" fillId="0" borderId="34" xfId="355" applyNumberFormat="1" applyFont="1" applyFill="1" applyBorder="1" applyAlignment="1">
      <alignment horizontal="center" vertical="center" wrapText="1"/>
    </xf>
    <xf numFmtId="2" fontId="29" fillId="0" borderId="21" xfId="184" applyNumberFormat="1" applyFont="1" applyFill="1" applyBorder="1" applyAlignment="1">
      <alignment horizontal="center" vertical="center" wrapText="1"/>
    </xf>
    <xf numFmtId="2" fontId="29" fillId="0" borderId="22" xfId="184" applyNumberFormat="1" applyFont="1" applyFill="1" applyBorder="1" applyAlignment="1">
      <alignment horizontal="center" vertical="center" wrapText="1"/>
    </xf>
    <xf numFmtId="2" fontId="29" fillId="0" borderId="23" xfId="184" applyNumberFormat="1" applyFont="1" applyFill="1" applyBorder="1" applyAlignment="1">
      <alignment horizontal="center" vertical="center" wrapText="1"/>
    </xf>
    <xf numFmtId="2" fontId="29" fillId="0" borderId="24" xfId="184" applyNumberFormat="1" applyFont="1" applyFill="1" applyBorder="1" applyAlignment="1">
      <alignment horizontal="center" vertical="center" wrapText="1"/>
    </xf>
    <xf numFmtId="2" fontId="29" fillId="0" borderId="25" xfId="184" applyNumberFormat="1" applyFont="1" applyFill="1" applyBorder="1" applyAlignment="1">
      <alignment horizontal="center" vertical="center" wrapText="1"/>
    </xf>
    <xf numFmtId="2" fontId="29" fillId="0" borderId="38" xfId="184" applyNumberFormat="1" applyFont="1" applyFill="1" applyBorder="1" applyAlignment="1">
      <alignment horizontal="center" vertical="center" wrapText="1"/>
    </xf>
    <xf numFmtId="2" fontId="29" fillId="0" borderId="10" xfId="184" applyNumberFormat="1" applyFont="1" applyFill="1" applyBorder="1" applyAlignment="1">
      <alignment horizontal="center" vertical="center" wrapText="1"/>
    </xf>
    <xf numFmtId="4" fontId="30" fillId="0" borderId="10" xfId="355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top" wrapText="1"/>
    </xf>
    <xf numFmtId="0" fontId="34" fillId="0" borderId="10" xfId="355" applyFont="1" applyBorder="1" applyAlignment="1">
      <alignment horizontal="center" vertical="center" wrapText="1"/>
    </xf>
    <xf numFmtId="3" fontId="30" fillId="0" borderId="17" xfId="0" applyNumberFormat="1" applyFont="1" applyFill="1" applyBorder="1" applyAlignment="1">
      <alignment horizontal="center" vertical="center"/>
    </xf>
    <xf numFmtId="3" fontId="30" fillId="0" borderId="15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34" fillId="0" borderId="17" xfId="355" applyFont="1" applyBorder="1" applyAlignment="1">
      <alignment horizontal="center" vertical="center" wrapText="1"/>
    </xf>
    <xf numFmtId="0" fontId="34" fillId="0" borderId="20" xfId="355" applyFont="1" applyBorder="1" applyAlignment="1">
      <alignment horizontal="center" vertical="center" wrapText="1"/>
    </xf>
    <xf numFmtId="0" fontId="34" fillId="0" borderId="15" xfId="355" applyFont="1" applyBorder="1" applyAlignment="1">
      <alignment horizontal="center" vertical="center" wrapText="1"/>
    </xf>
    <xf numFmtId="3" fontId="34" fillId="0" borderId="17" xfId="355" applyNumberFormat="1" applyFont="1" applyFill="1" applyBorder="1" applyAlignment="1">
      <alignment horizontal="center" vertical="center" wrapText="1"/>
    </xf>
    <xf numFmtId="3" fontId="34" fillId="0" borderId="20" xfId="355" applyNumberFormat="1" applyFont="1" applyFill="1" applyBorder="1" applyAlignment="1">
      <alignment horizontal="center" vertical="center" wrapText="1"/>
    </xf>
    <xf numFmtId="3" fontId="34" fillId="0" borderId="15" xfId="355" applyNumberFormat="1" applyFont="1" applyFill="1" applyBorder="1" applyAlignment="1">
      <alignment horizontal="center" vertical="center" wrapText="1"/>
    </xf>
    <xf numFmtId="3" fontId="59" fillId="0" borderId="33" xfId="0" applyNumberFormat="1" applyFont="1" applyFill="1" applyBorder="1" applyAlignment="1" applyProtection="1">
      <alignment horizontal="center" vertical="center" wrapText="1"/>
      <protection hidden="1"/>
    </xf>
    <xf numFmtId="3" fontId="59" fillId="0" borderId="40" xfId="0" applyNumberFormat="1" applyFont="1" applyFill="1" applyBorder="1" applyAlignment="1" applyProtection="1">
      <alignment horizontal="center" vertical="center" wrapText="1"/>
      <protection hidden="1"/>
    </xf>
    <xf numFmtId="3" fontId="59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10" xfId="0" applyFont="1" applyBorder="1" applyAlignment="1">
      <alignment horizontal="center" vertical="center" wrapText="1"/>
    </xf>
    <xf numFmtId="14" fontId="30" fillId="0" borderId="16" xfId="0" applyNumberFormat="1" applyFont="1" applyBorder="1" applyAlignment="1">
      <alignment horizontal="center"/>
    </xf>
    <xf numFmtId="0" fontId="34" fillId="0" borderId="21" xfId="0" applyFont="1" applyBorder="1" applyAlignment="1">
      <alignment horizontal="left" vertical="center" wrapText="1"/>
    </xf>
    <xf numFmtId="0" fontId="0" fillId="0" borderId="19" xfId="0" applyBorder="1"/>
    <xf numFmtId="0" fontId="0" fillId="0" borderId="22" xfId="0" applyBorder="1"/>
    <xf numFmtId="0" fontId="0" fillId="0" borderId="25" xfId="0" applyBorder="1"/>
    <xf numFmtId="0" fontId="0" fillId="0" borderId="16" xfId="0" applyBorder="1"/>
    <xf numFmtId="0" fontId="0" fillId="0" borderId="38" xfId="0" applyBorder="1"/>
    <xf numFmtId="0" fontId="60" fillId="0" borderId="17" xfId="0" applyFont="1" applyFill="1" applyBorder="1" applyAlignment="1">
      <alignment horizontal="center" vertical="center" wrapText="1"/>
    </xf>
    <xf numFmtId="0" fontId="0" fillId="0" borderId="15" xfId="0" applyBorder="1"/>
    <xf numFmtId="3" fontId="59" fillId="50" borderId="33" xfId="0" applyNumberFormat="1" applyFont="1" applyFill="1" applyBorder="1" applyAlignment="1">
      <alignment horizontal="center" vertical="center" wrapText="1"/>
    </xf>
    <xf numFmtId="3" fontId="0" fillId="50" borderId="40" xfId="0" applyNumberFormat="1" applyFill="1" applyBorder="1"/>
    <xf numFmtId="3" fontId="0" fillId="50" borderId="43" xfId="0" applyNumberFormat="1" applyFill="1" applyBorder="1"/>
    <xf numFmtId="3" fontId="59" fillId="0" borderId="42" xfId="0" applyNumberFormat="1" applyFont="1" applyBorder="1" applyAlignment="1">
      <alignment horizontal="center" vertical="center" wrapText="1"/>
    </xf>
    <xf numFmtId="3" fontId="59" fillId="0" borderId="41" xfId="0" applyNumberFormat="1" applyFont="1" applyBorder="1" applyAlignment="1">
      <alignment horizontal="center" vertical="center" wrapText="1"/>
    </xf>
    <xf numFmtId="3" fontId="59" fillId="0" borderId="36" xfId="0" applyNumberFormat="1" applyFont="1" applyBorder="1" applyAlignment="1">
      <alignment horizontal="center" vertical="center" wrapText="1"/>
    </xf>
    <xf numFmtId="3" fontId="59" fillId="50" borderId="37" xfId="0" applyNumberFormat="1" applyFont="1" applyFill="1" applyBorder="1" applyAlignment="1">
      <alignment horizontal="center" vertical="center" wrapText="1"/>
    </xf>
    <xf numFmtId="3" fontId="59" fillId="50" borderId="47" xfId="0" applyNumberFormat="1" applyFont="1" applyFill="1" applyBorder="1" applyAlignment="1">
      <alignment horizontal="center" vertical="center" wrapText="1"/>
    </xf>
    <xf numFmtId="3" fontId="59" fillId="50" borderId="48" xfId="0" applyNumberFormat="1" applyFont="1" applyFill="1" applyBorder="1" applyAlignment="1">
      <alignment horizontal="center" vertical="center" wrapText="1"/>
    </xf>
    <xf numFmtId="0" fontId="29" fillId="58" borderId="10" xfId="0" applyFont="1" applyFill="1" applyBorder="1" applyAlignment="1">
      <alignment horizontal="center" vertical="center" wrapText="1"/>
    </xf>
    <xf numFmtId="0" fontId="60" fillId="50" borderId="50" xfId="0" applyFont="1" applyFill="1" applyBorder="1" applyAlignment="1">
      <alignment horizontal="center" vertical="center" wrapText="1"/>
    </xf>
    <xf numFmtId="0" fontId="60" fillId="50" borderId="51" xfId="0" applyFont="1" applyFill="1" applyBorder="1" applyAlignment="1">
      <alignment horizontal="center" vertical="center" wrapText="1"/>
    </xf>
    <xf numFmtId="0" fontId="60" fillId="50" borderId="52" xfId="0" applyFont="1" applyFill="1" applyBorder="1" applyAlignment="1">
      <alignment horizontal="center" vertical="center" wrapText="1"/>
    </xf>
    <xf numFmtId="2" fontId="29" fillId="0" borderId="28" xfId="0" applyNumberFormat="1" applyFont="1" applyBorder="1" applyAlignment="1">
      <alignment horizontal="center" vertical="center" wrapText="1"/>
    </xf>
    <xf numFmtId="3" fontId="0" fillId="0" borderId="41" xfId="0" applyNumberFormat="1" applyBorder="1"/>
    <xf numFmtId="3" fontId="0" fillId="0" borderId="36" xfId="0" applyNumberFormat="1" applyBorder="1"/>
    <xf numFmtId="3" fontId="59" fillId="0" borderId="35" xfId="0" applyNumberFormat="1" applyFont="1" applyBorder="1" applyAlignment="1">
      <alignment horizontal="center" vertical="center" wrapText="1"/>
    </xf>
    <xf numFmtId="0" fontId="61" fillId="50" borderId="21" xfId="0" applyFont="1" applyFill="1" applyBorder="1" applyAlignment="1">
      <alignment horizontal="center"/>
    </xf>
    <xf numFmtId="0" fontId="61" fillId="50" borderId="19" xfId="0" applyFont="1" applyFill="1" applyBorder="1" applyAlignment="1">
      <alignment horizontal="center"/>
    </xf>
    <xf numFmtId="0" fontId="61" fillId="50" borderId="22" xfId="0" applyFont="1" applyFill="1" applyBorder="1" applyAlignment="1">
      <alignment horizontal="center"/>
    </xf>
    <xf numFmtId="0" fontId="61" fillId="50" borderId="25" xfId="0" applyFont="1" applyFill="1" applyBorder="1" applyAlignment="1">
      <alignment horizontal="center"/>
    </xf>
    <xf numFmtId="0" fontId="61" fillId="50" borderId="16" xfId="0" applyFont="1" applyFill="1" applyBorder="1" applyAlignment="1">
      <alignment horizontal="center"/>
    </xf>
    <xf numFmtId="0" fontId="61" fillId="50" borderId="38" xfId="0" applyFont="1" applyFill="1" applyBorder="1" applyAlignment="1">
      <alignment horizontal="center"/>
    </xf>
    <xf numFmtId="0" fontId="33" fillId="0" borderId="17" xfId="0" applyFont="1" applyBorder="1" applyAlignment="1">
      <alignment horizontal="center" vertical="center" wrapText="1"/>
    </xf>
    <xf numFmtId="3" fontId="30" fillId="50" borderId="40" xfId="0" applyNumberFormat="1" applyFont="1" applyFill="1" applyBorder="1" applyAlignment="1">
      <alignment horizontal="center" vertical="center" wrapText="1"/>
    </xf>
    <xf numFmtId="3" fontId="30" fillId="50" borderId="43" xfId="0" applyNumberFormat="1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 wrapText="1"/>
    </xf>
    <xf numFmtId="3" fontId="60" fillId="50" borderId="35" xfId="0" applyNumberFormat="1" applyFont="1" applyFill="1" applyBorder="1" applyAlignment="1">
      <alignment horizontal="center" vertical="center" wrapText="1"/>
    </xf>
    <xf numFmtId="3" fontId="0" fillId="50" borderId="41" xfId="0" applyNumberFormat="1" applyFill="1" applyBorder="1"/>
    <xf numFmtId="3" fontId="0" fillId="50" borderId="36" xfId="0" applyNumberFormat="1" applyFill="1" applyBorder="1"/>
    <xf numFmtId="3" fontId="59" fillId="50" borderId="32" xfId="0" applyNumberFormat="1" applyFont="1" applyFill="1" applyBorder="1" applyAlignment="1">
      <alignment horizontal="center" vertical="center" wrapText="1"/>
    </xf>
    <xf numFmtId="0" fontId="60" fillId="50" borderId="45" xfId="0" applyFont="1" applyFill="1" applyBorder="1" applyAlignment="1">
      <alignment horizontal="center" vertical="center" wrapText="1"/>
    </xf>
    <xf numFmtId="0" fontId="60" fillId="50" borderId="46" xfId="0" applyFont="1" applyFill="1" applyBorder="1" applyAlignment="1">
      <alignment horizontal="center" vertical="center" wrapText="1"/>
    </xf>
    <xf numFmtId="3" fontId="59" fillId="0" borderId="33" xfId="0" applyNumberFormat="1" applyFont="1" applyBorder="1" applyAlignment="1">
      <alignment horizontal="center" vertical="center" wrapText="1"/>
    </xf>
    <xf numFmtId="3" fontId="59" fillId="0" borderId="40" xfId="0" applyNumberFormat="1" applyFont="1" applyBorder="1" applyAlignment="1">
      <alignment horizontal="center" vertical="center" wrapText="1"/>
    </xf>
    <xf numFmtId="0" fontId="59" fillId="0" borderId="10" xfId="0" applyFont="1" applyBorder="1" applyAlignment="1">
      <alignment horizontal="left" vertical="center" wrapText="1"/>
    </xf>
    <xf numFmtId="0" fontId="11" fillId="50" borderId="10" xfId="0" applyFont="1" applyFill="1" applyBorder="1" applyAlignment="1">
      <alignment horizontal="center"/>
    </xf>
    <xf numFmtId="3" fontId="0" fillId="0" borderId="49" xfId="0" applyNumberFormat="1" applyBorder="1"/>
    <xf numFmtId="0" fontId="60" fillId="0" borderId="10" xfId="0" applyFont="1" applyFill="1" applyBorder="1" applyAlignment="1">
      <alignment horizontal="center" vertical="center" wrapText="1"/>
    </xf>
    <xf numFmtId="1" fontId="60" fillId="0" borderId="17" xfId="0" applyNumberFormat="1" applyFont="1" applyFill="1" applyBorder="1" applyAlignment="1">
      <alignment horizontal="center" vertical="center"/>
    </xf>
    <xf numFmtId="1" fontId="60" fillId="0" borderId="20" xfId="0" applyNumberFormat="1" applyFont="1" applyFill="1" applyBorder="1" applyAlignment="1">
      <alignment horizontal="center" vertical="center"/>
    </xf>
    <xf numFmtId="1" fontId="60" fillId="0" borderId="15" xfId="0" applyNumberFormat="1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50" borderId="44" xfId="0" applyFont="1" applyFill="1" applyBorder="1" applyAlignment="1">
      <alignment horizontal="center" vertical="center" wrapText="1"/>
    </xf>
    <xf numFmtId="3" fontId="59" fillId="0" borderId="39" xfId="0" applyNumberFormat="1" applyFont="1" applyBorder="1" applyAlignment="1">
      <alignment horizontal="center" vertical="center" wrapText="1"/>
    </xf>
    <xf numFmtId="3" fontId="59" fillId="0" borderId="43" xfId="0" applyNumberFormat="1" applyFont="1" applyBorder="1" applyAlignment="1">
      <alignment horizontal="center" vertical="center" wrapText="1"/>
    </xf>
    <xf numFmtId="3" fontId="0" fillId="0" borderId="40" xfId="0" applyNumberFormat="1" applyBorder="1"/>
    <xf numFmtId="3" fontId="0" fillId="0" borderId="34" xfId="0" applyNumberFormat="1" applyBorder="1"/>
    <xf numFmtId="3" fontId="0" fillId="0" borderId="43" xfId="0" applyNumberFormat="1" applyBorder="1"/>
    <xf numFmtId="3" fontId="30" fillId="50" borderId="39" xfId="0" applyNumberFormat="1" applyFont="1" applyFill="1" applyBorder="1" applyAlignment="1">
      <alignment horizontal="center" vertical="center" wrapText="1"/>
    </xf>
    <xf numFmtId="3" fontId="30" fillId="50" borderId="34" xfId="0" applyNumberFormat="1" applyFont="1" applyFill="1" applyBorder="1" applyAlignment="1">
      <alignment horizontal="center" vertical="center" wrapText="1"/>
    </xf>
    <xf numFmtId="3" fontId="59" fillId="50" borderId="39" xfId="0" applyNumberFormat="1" applyFont="1" applyFill="1" applyBorder="1" applyAlignment="1">
      <alignment horizontal="center" vertical="center" wrapText="1"/>
    </xf>
    <xf numFmtId="3" fontId="0" fillId="50" borderId="34" xfId="0" applyNumberFormat="1" applyFill="1" applyBorder="1"/>
    <xf numFmtId="3" fontId="59" fillId="0" borderId="34" xfId="0" applyNumberFormat="1" applyFont="1" applyBorder="1" applyAlignment="1">
      <alignment horizontal="center" vertical="center" wrapText="1"/>
    </xf>
    <xf numFmtId="3" fontId="29" fillId="50" borderId="41" xfId="0" applyNumberFormat="1" applyFont="1" applyFill="1" applyBorder="1" applyAlignment="1">
      <alignment horizontal="center" vertical="center" wrapText="1"/>
    </xf>
    <xf numFmtId="3" fontId="29" fillId="50" borderId="36" xfId="0" applyNumberFormat="1" applyFont="1" applyFill="1" applyBorder="1" applyAlignment="1">
      <alignment horizontal="center" vertical="center" wrapText="1"/>
    </xf>
    <xf numFmtId="166" fontId="59" fillId="0" borderId="13" xfId="0" applyNumberFormat="1" applyFont="1" applyBorder="1" applyAlignment="1" applyProtection="1">
      <alignment horizontal="center" vertical="center" wrapText="1"/>
      <protection hidden="1"/>
    </xf>
    <xf numFmtId="2" fontId="59" fillId="0" borderId="10" xfId="0" applyNumberFormat="1" applyFont="1" applyBorder="1" applyAlignment="1" applyProtection="1">
      <alignment horizontal="center" vertical="center" wrapText="1"/>
      <protection hidden="1"/>
    </xf>
    <xf numFmtId="1" fontId="59" fillId="0" borderId="28" xfId="0" applyNumberFormat="1" applyFont="1" applyBorder="1" applyAlignment="1" applyProtection="1">
      <alignment horizontal="center" vertical="center" wrapText="1"/>
      <protection hidden="1"/>
    </xf>
    <xf numFmtId="1" fontId="59" fillId="0" borderId="18" xfId="0" applyNumberFormat="1" applyFont="1" applyBorder="1" applyAlignment="1" applyProtection="1">
      <alignment horizontal="center" vertical="center" wrapText="1"/>
      <protection hidden="1"/>
    </xf>
    <xf numFmtId="1" fontId="59" fillId="0" borderId="31" xfId="0" applyNumberFormat="1" applyFont="1" applyBorder="1" applyAlignment="1" applyProtection="1">
      <alignment horizontal="center" vertical="center" wrapText="1"/>
      <protection hidden="1"/>
    </xf>
    <xf numFmtId="1" fontId="59" fillId="0" borderId="11" xfId="0" applyNumberFormat="1" applyFont="1" applyBorder="1" applyAlignment="1" applyProtection="1">
      <alignment horizontal="center" vertical="center" wrapText="1"/>
      <protection hidden="1"/>
    </xf>
    <xf numFmtId="166" fontId="59" fillId="0" borderId="11" xfId="0" applyNumberFormat="1" applyFont="1" applyBorder="1" applyAlignment="1" applyProtection="1">
      <alignment horizontal="center" vertical="center" wrapText="1"/>
      <protection hidden="1"/>
    </xf>
    <xf numFmtId="1" fontId="59" fillId="0" borderId="10" xfId="0" applyNumberFormat="1" applyFont="1" applyBorder="1" applyAlignment="1" applyProtection="1">
      <alignment horizontal="center" vertical="center" wrapText="1"/>
      <protection hidden="1"/>
    </xf>
    <xf numFmtId="3" fontId="59" fillId="0" borderId="33" xfId="0" applyNumberFormat="1" applyFont="1" applyBorder="1" applyAlignment="1" applyProtection="1">
      <alignment horizontal="center" vertical="center" wrapText="1"/>
      <protection hidden="1"/>
    </xf>
    <xf numFmtId="3" fontId="59" fillId="0" borderId="40" xfId="0" applyNumberFormat="1" applyFont="1" applyBorder="1" applyAlignment="1" applyProtection="1">
      <alignment horizontal="center" vertical="center" wrapText="1"/>
      <protection hidden="1"/>
    </xf>
    <xf numFmtId="3" fontId="59" fillId="0" borderId="34" xfId="0" applyNumberFormat="1" applyFont="1" applyBorder="1" applyAlignment="1" applyProtection="1">
      <alignment horizontal="center" vertical="center" wrapText="1"/>
      <protection hidden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1" fontId="59" fillId="0" borderId="13" xfId="0" applyNumberFormat="1" applyFont="1" applyBorder="1" applyAlignment="1" applyProtection="1">
      <alignment horizontal="center" vertical="center" wrapText="1"/>
      <protection hidden="1"/>
    </xf>
    <xf numFmtId="166" fontId="30" fillId="0" borderId="10" xfId="0" applyNumberFormat="1" applyFont="1" applyBorder="1" applyAlignment="1" applyProtection="1">
      <alignment horizontal="center" vertical="center" wrapText="1"/>
      <protection hidden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38" xfId="0" applyFont="1" applyFill="1" applyBorder="1" applyAlignment="1">
      <alignment horizontal="center" vertical="center" wrapText="1"/>
    </xf>
    <xf numFmtId="3" fontId="59" fillId="0" borderId="35" xfId="0" applyNumberFormat="1" applyFont="1" applyFill="1" applyBorder="1" applyAlignment="1" applyProtection="1">
      <alignment horizontal="center" vertical="center" wrapText="1"/>
      <protection hidden="1"/>
    </xf>
    <xf numFmtId="3" fontId="59" fillId="0" borderId="41" xfId="0" applyNumberFormat="1" applyFont="1" applyFill="1" applyBorder="1" applyAlignment="1" applyProtection="1">
      <alignment horizontal="center" vertical="center" wrapText="1"/>
      <protection hidden="1"/>
    </xf>
    <xf numFmtId="3" fontId="59" fillId="0" borderId="36" xfId="0" applyNumberFormat="1" applyFont="1" applyFill="1" applyBorder="1" applyAlignment="1" applyProtection="1">
      <alignment horizontal="center" vertical="center" wrapText="1"/>
      <protection hidden="1"/>
    </xf>
    <xf numFmtId="2" fontId="30" fillId="0" borderId="17" xfId="0" applyNumberFormat="1" applyFont="1" applyFill="1" applyBorder="1" applyAlignment="1">
      <alignment horizontal="center" vertical="center" wrapText="1"/>
    </xf>
    <xf numFmtId="2" fontId="30" fillId="0" borderId="15" xfId="0" applyNumberFormat="1" applyFont="1" applyFill="1" applyBorder="1" applyAlignment="1">
      <alignment horizontal="center" vertical="center" wrapText="1"/>
    </xf>
    <xf numFmtId="1" fontId="59" fillId="0" borderId="17" xfId="0" applyNumberFormat="1" applyFont="1" applyBorder="1" applyAlignment="1" applyProtection="1">
      <alignment horizontal="center" vertical="center" wrapText="1"/>
      <protection hidden="1"/>
    </xf>
    <xf numFmtId="2" fontId="30" fillId="0" borderId="11" xfId="0" applyNumberFormat="1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36" fillId="0" borderId="18" xfId="356" applyFont="1" applyBorder="1" applyAlignment="1" applyProtection="1">
      <alignment horizontal="center" vertical="top"/>
      <protection hidden="1"/>
    </xf>
    <xf numFmtId="0" fontId="29" fillId="0" borderId="17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166" fontId="30" fillId="0" borderId="11" xfId="0" applyNumberFormat="1" applyFont="1" applyBorder="1" applyAlignment="1" applyProtection="1">
      <alignment horizontal="center" vertical="center" wrapText="1"/>
      <protection hidden="1"/>
    </xf>
    <xf numFmtId="166" fontId="30" fillId="0" borderId="13" xfId="0" applyNumberFormat="1" applyFont="1" applyBorder="1" applyAlignment="1" applyProtection="1">
      <alignment horizontal="center" vertical="center" wrapText="1"/>
      <protection hidden="1"/>
    </xf>
    <xf numFmtId="3" fontId="34" fillId="0" borderId="33" xfId="0" applyNumberFormat="1" applyFont="1" applyBorder="1" applyAlignment="1">
      <alignment horizontal="center" vertical="center" wrapText="1"/>
    </xf>
    <xf numFmtId="0" fontId="41" fillId="48" borderId="23" xfId="0" applyFont="1" applyFill="1" applyBorder="1" applyAlignment="1">
      <alignment horizontal="center" vertical="center" wrapText="1"/>
    </xf>
    <xf numFmtId="0" fontId="41" fillId="48" borderId="0" xfId="0" applyFont="1" applyFill="1" applyBorder="1" applyAlignment="1">
      <alignment horizontal="center" vertical="center" wrapText="1"/>
    </xf>
    <xf numFmtId="3" fontId="59" fillId="0" borderId="35" xfId="0" applyNumberFormat="1" applyFont="1" applyBorder="1" applyAlignment="1" applyProtection="1">
      <alignment horizontal="center" vertical="center" wrapText="1"/>
      <protection hidden="1"/>
    </xf>
    <xf numFmtId="3" fontId="59" fillId="0" borderId="41" xfId="0" applyNumberFormat="1" applyFont="1" applyBorder="1" applyAlignment="1" applyProtection="1">
      <alignment horizontal="center" vertical="center" wrapText="1"/>
      <protection hidden="1"/>
    </xf>
    <xf numFmtId="3" fontId="59" fillId="0" borderId="36" xfId="0" applyNumberFormat="1" applyFont="1" applyBorder="1" applyAlignment="1" applyProtection="1">
      <alignment horizontal="center" vertical="center" wrapText="1"/>
      <protection hidden="1"/>
    </xf>
    <xf numFmtId="166" fontId="30" fillId="0" borderId="20" xfId="0" applyNumberFormat="1" applyFont="1" applyBorder="1" applyAlignment="1" applyProtection="1">
      <alignment horizontal="center" vertical="center" wrapText="1"/>
      <protection hidden="1"/>
    </xf>
    <xf numFmtId="166" fontId="30" fillId="0" borderId="15" xfId="0" applyNumberFormat="1" applyFont="1" applyBorder="1" applyAlignment="1" applyProtection="1">
      <alignment horizontal="center" vertical="center" wrapText="1"/>
      <protection hidden="1"/>
    </xf>
    <xf numFmtId="2" fontId="30" fillId="0" borderId="10" xfId="0" applyNumberFormat="1" applyFont="1" applyFill="1" applyBorder="1" applyAlignment="1">
      <alignment horizontal="center" vertical="center" wrapText="1"/>
    </xf>
    <xf numFmtId="2" fontId="30" fillId="0" borderId="17" xfId="0" applyNumberFormat="1" applyFont="1" applyBorder="1" applyAlignment="1">
      <alignment horizontal="center" vertical="center" wrapText="1"/>
    </xf>
    <xf numFmtId="2" fontId="30" fillId="0" borderId="15" xfId="0" applyNumberFormat="1" applyFont="1" applyBorder="1" applyAlignment="1">
      <alignment horizontal="center" vertical="center" wrapText="1"/>
    </xf>
    <xf numFmtId="0" fontId="43" fillId="48" borderId="10" xfId="357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1" fillId="48" borderId="28" xfId="0" applyFont="1" applyFill="1" applyBorder="1" applyAlignment="1">
      <alignment horizontal="center" vertical="center" wrapText="1"/>
    </xf>
    <xf numFmtId="0" fontId="41" fillId="48" borderId="31" xfId="0" applyFont="1" applyFill="1" applyBorder="1" applyAlignment="1">
      <alignment horizontal="center" vertical="center" wrapText="1"/>
    </xf>
    <xf numFmtId="0" fontId="29" fillId="48" borderId="28" xfId="0" applyFont="1" applyFill="1" applyBorder="1" applyAlignment="1">
      <alignment horizontal="center" vertical="center" wrapText="1"/>
    </xf>
    <xf numFmtId="0" fontId="29" fillId="48" borderId="31" xfId="0" applyFont="1" applyFill="1" applyBorder="1" applyAlignment="1">
      <alignment horizontal="center" vertical="center" wrapText="1"/>
    </xf>
    <xf numFmtId="9" fontId="46" fillId="0" borderId="28" xfId="373" applyFont="1" applyBorder="1" applyAlignment="1">
      <alignment horizontal="center" vertical="center"/>
    </xf>
    <xf numFmtId="9" fontId="46" fillId="0" borderId="31" xfId="373" applyFont="1" applyBorder="1" applyAlignment="1">
      <alignment horizontal="center" vertical="center"/>
    </xf>
    <xf numFmtId="0" fontId="29" fillId="0" borderId="28" xfId="334" applyFont="1" applyFill="1" applyBorder="1" applyAlignment="1" applyProtection="1">
      <alignment horizontal="center" vertical="center" wrapText="1"/>
      <protection hidden="1"/>
    </xf>
    <xf numFmtId="0" fontId="29" fillId="0" borderId="18" xfId="334" applyFont="1" applyFill="1" applyBorder="1" applyAlignment="1" applyProtection="1">
      <alignment horizontal="center" vertical="center" wrapText="1"/>
      <protection hidden="1"/>
    </xf>
    <xf numFmtId="0" fontId="29" fillId="0" borderId="31" xfId="334" applyFont="1" applyFill="1" applyBorder="1" applyAlignment="1" applyProtection="1">
      <alignment horizontal="center" vertical="center" wrapText="1"/>
      <protection hidden="1"/>
    </xf>
    <xf numFmtId="9" fontId="46" fillId="0" borderId="18" xfId="373" applyFont="1" applyBorder="1" applyAlignment="1">
      <alignment horizontal="center" vertical="center"/>
    </xf>
    <xf numFmtId="0" fontId="29" fillId="56" borderId="21" xfId="334" applyFont="1" applyFill="1" applyBorder="1" applyAlignment="1" applyProtection="1">
      <alignment horizontal="center" vertical="center" wrapText="1"/>
      <protection hidden="1"/>
    </xf>
    <xf numFmtId="0" fontId="29" fillId="56" borderId="19" xfId="334" applyFont="1" applyFill="1" applyBorder="1" applyAlignment="1" applyProtection="1">
      <alignment horizontal="center" vertical="center" wrapText="1"/>
      <protection hidden="1"/>
    </xf>
    <xf numFmtId="0" fontId="29" fillId="56" borderId="22" xfId="334" applyFont="1" applyFill="1" applyBorder="1" applyAlignment="1" applyProtection="1">
      <alignment horizontal="center" vertical="center" wrapText="1"/>
      <protection hidden="1"/>
    </xf>
    <xf numFmtId="0" fontId="29" fillId="56" borderId="23" xfId="334" applyFont="1" applyFill="1" applyBorder="1" applyAlignment="1" applyProtection="1">
      <alignment horizontal="center" vertical="center" wrapText="1"/>
      <protection hidden="1"/>
    </xf>
    <xf numFmtId="0" fontId="29" fillId="56" borderId="0" xfId="334" applyFont="1" applyFill="1" applyBorder="1" applyAlignment="1" applyProtection="1">
      <alignment horizontal="center" vertical="center" wrapText="1"/>
      <protection hidden="1"/>
    </xf>
    <xf numFmtId="0" fontId="29" fillId="56" borderId="24" xfId="334" applyFont="1" applyFill="1" applyBorder="1" applyAlignment="1" applyProtection="1">
      <alignment horizontal="center" vertical="center" wrapText="1"/>
      <protection hidden="1"/>
    </xf>
    <xf numFmtId="0" fontId="29" fillId="56" borderId="25" xfId="334" applyFont="1" applyFill="1" applyBorder="1" applyAlignment="1" applyProtection="1">
      <alignment horizontal="center" vertical="center" wrapText="1"/>
      <protection hidden="1"/>
    </xf>
    <xf numFmtId="0" fontId="29" fillId="56" borderId="16" xfId="334" applyFont="1" applyFill="1" applyBorder="1" applyAlignment="1" applyProtection="1">
      <alignment horizontal="center" vertical="center" wrapText="1"/>
      <protection hidden="1"/>
    </xf>
    <xf numFmtId="0" fontId="29" fillId="56" borderId="38" xfId="334" applyFont="1" applyFill="1" applyBorder="1" applyAlignment="1" applyProtection="1">
      <alignment horizontal="center" vertical="center" wrapText="1"/>
      <protection hidden="1"/>
    </xf>
    <xf numFmtId="0" fontId="29" fillId="56" borderId="17" xfId="334" applyFont="1" applyFill="1" applyBorder="1" applyAlignment="1" applyProtection="1">
      <alignment horizontal="center" vertical="center" wrapText="1"/>
      <protection hidden="1"/>
    </xf>
    <xf numFmtId="0" fontId="29" fillId="56" borderId="20" xfId="334" applyFont="1" applyFill="1" applyBorder="1" applyAlignment="1" applyProtection="1">
      <alignment horizontal="center" vertical="center" wrapText="1"/>
      <protection hidden="1"/>
    </xf>
    <xf numFmtId="0" fontId="29" fillId="56" borderId="15" xfId="334" applyFont="1" applyFill="1" applyBorder="1" applyAlignment="1" applyProtection="1">
      <alignment horizontal="center" vertical="center" wrapText="1"/>
      <protection hidden="1"/>
    </xf>
    <xf numFmtId="0" fontId="29" fillId="56" borderId="17" xfId="330" applyFont="1" applyFill="1" applyBorder="1" applyAlignment="1" applyProtection="1">
      <alignment horizontal="center" vertical="center" wrapText="1"/>
      <protection hidden="1"/>
    </xf>
    <xf numFmtId="0" fontId="29" fillId="56" borderId="20" xfId="330" applyFont="1" applyFill="1" applyBorder="1" applyAlignment="1" applyProtection="1">
      <alignment horizontal="center" vertical="center" wrapText="1"/>
      <protection hidden="1"/>
    </xf>
    <xf numFmtId="0" fontId="29" fillId="56" borderId="15" xfId="330" applyFont="1" applyFill="1" applyBorder="1" applyAlignment="1" applyProtection="1">
      <alignment horizontal="center" vertical="center" wrapText="1"/>
      <protection hidden="1"/>
    </xf>
    <xf numFmtId="0" fontId="29" fillId="56" borderId="28" xfId="334" applyFont="1" applyFill="1" applyBorder="1" applyAlignment="1" applyProtection="1">
      <alignment horizontal="center" vertical="center" wrapText="1"/>
      <protection hidden="1"/>
    </xf>
    <xf numFmtId="0" fontId="29" fillId="56" borderId="18" xfId="334" applyFont="1" applyFill="1" applyBorder="1" applyAlignment="1" applyProtection="1">
      <alignment horizontal="center" vertical="center" wrapText="1"/>
      <protection hidden="1"/>
    </xf>
    <xf numFmtId="0" fontId="29" fillId="56" borderId="31" xfId="334" applyFont="1" applyFill="1" applyBorder="1" applyAlignment="1" applyProtection="1">
      <alignment horizontal="center" vertical="center" wrapText="1"/>
      <protection hidden="1"/>
    </xf>
    <xf numFmtId="0" fontId="29" fillId="58" borderId="28" xfId="330" applyFont="1" applyFill="1" applyBorder="1" applyAlignment="1" applyProtection="1">
      <alignment horizontal="center" vertical="center" wrapText="1"/>
      <protection hidden="1"/>
    </xf>
    <xf numFmtId="0" fontId="29" fillId="58" borderId="31" xfId="330" applyFont="1" applyFill="1" applyBorder="1" applyAlignment="1" applyProtection="1">
      <alignment horizontal="center" vertical="center" wrapText="1"/>
      <protection hidden="1"/>
    </xf>
    <xf numFmtId="0" fontId="34" fillId="0" borderId="28" xfId="334" applyFont="1" applyBorder="1" applyAlignment="1">
      <alignment horizontal="center" vertical="center"/>
    </xf>
    <xf numFmtId="0" fontId="34" fillId="0" borderId="18" xfId="334" applyFont="1" applyBorder="1" applyAlignment="1">
      <alignment horizontal="center" vertical="center"/>
    </xf>
    <xf numFmtId="0" fontId="34" fillId="0" borderId="31" xfId="334" applyFont="1" applyBorder="1" applyAlignment="1">
      <alignment horizontal="center" vertical="center"/>
    </xf>
    <xf numFmtId="0" fontId="30" fillId="0" borderId="28" xfId="334" applyFont="1" applyBorder="1" applyAlignment="1" applyProtection="1">
      <alignment horizontal="center" vertical="center" wrapText="1"/>
      <protection hidden="1"/>
    </xf>
    <xf numFmtId="0" fontId="30" fillId="0" borderId="31" xfId="334" applyFont="1" applyBorder="1" applyAlignment="1" applyProtection="1">
      <alignment horizontal="center" vertical="center" wrapText="1"/>
      <protection hidden="1"/>
    </xf>
    <xf numFmtId="0" fontId="29" fillId="46" borderId="10" xfId="0" applyFont="1" applyFill="1" applyBorder="1" applyAlignment="1" applyProtection="1">
      <alignment horizontal="center" vertical="center" wrapText="1"/>
      <protection hidden="1"/>
    </xf>
    <xf numFmtId="3" fontId="29" fillId="56" borderId="28" xfId="334" applyNumberFormat="1" applyFont="1" applyFill="1" applyBorder="1" applyAlignment="1" applyProtection="1">
      <alignment horizontal="center" vertical="center" wrapText="1"/>
      <protection hidden="1"/>
    </xf>
    <xf numFmtId="3" fontId="29" fillId="56" borderId="18" xfId="334" applyNumberFormat="1" applyFont="1" applyFill="1" applyBorder="1" applyAlignment="1" applyProtection="1">
      <alignment horizontal="center" vertical="center" wrapText="1"/>
      <protection hidden="1"/>
    </xf>
    <xf numFmtId="3" fontId="29" fillId="56" borderId="31" xfId="334" applyNumberFormat="1" applyFont="1" applyFill="1" applyBorder="1" applyAlignment="1" applyProtection="1">
      <alignment horizontal="center" vertical="center" wrapText="1"/>
      <protection hidden="1"/>
    </xf>
    <xf numFmtId="3" fontId="34" fillId="0" borderId="37" xfId="334" applyNumberFormat="1" applyFont="1" applyBorder="1" applyAlignment="1" applyProtection="1">
      <alignment horizontal="center" vertical="center"/>
      <protection hidden="1"/>
    </xf>
    <xf numFmtId="3" fontId="34" fillId="0" borderId="57" xfId="334" applyNumberFormat="1" applyFont="1" applyBorder="1" applyAlignment="1" applyProtection="1">
      <alignment horizontal="center" vertical="center"/>
      <protection hidden="1"/>
    </xf>
    <xf numFmtId="3" fontId="34" fillId="0" borderId="32" xfId="334" applyNumberFormat="1" applyFont="1" applyBorder="1" applyAlignment="1" applyProtection="1">
      <alignment horizontal="center" vertical="center"/>
      <protection hidden="1"/>
    </xf>
    <xf numFmtId="3" fontId="30" fillId="0" borderId="37" xfId="334" applyNumberFormat="1" applyFont="1" applyBorder="1" applyAlignment="1" applyProtection="1">
      <alignment horizontal="center" vertical="center"/>
      <protection hidden="1"/>
    </xf>
    <xf numFmtId="3" fontId="30" fillId="0" borderId="57" xfId="334" applyNumberFormat="1" applyFont="1" applyBorder="1" applyAlignment="1" applyProtection="1">
      <alignment horizontal="center" vertical="center"/>
      <protection hidden="1"/>
    </xf>
    <xf numFmtId="3" fontId="30" fillId="0" borderId="32" xfId="334" applyNumberFormat="1" applyFont="1" applyBorder="1" applyAlignment="1" applyProtection="1">
      <alignment horizontal="center" vertical="center"/>
      <protection hidden="1"/>
    </xf>
    <xf numFmtId="3" fontId="34" fillId="0" borderId="33" xfId="334" applyNumberFormat="1" applyFont="1" applyBorder="1" applyAlignment="1" applyProtection="1">
      <alignment horizontal="center" vertical="center"/>
      <protection hidden="1"/>
    </xf>
    <xf numFmtId="3" fontId="34" fillId="0" borderId="40" xfId="334" applyNumberFormat="1" applyFont="1" applyBorder="1" applyAlignment="1" applyProtection="1">
      <alignment horizontal="center" vertical="center"/>
      <protection hidden="1"/>
    </xf>
    <xf numFmtId="3" fontId="34" fillId="0" borderId="34" xfId="334" applyNumberFormat="1" applyFont="1" applyBorder="1" applyAlignment="1" applyProtection="1">
      <alignment horizontal="center" vertical="center"/>
      <protection hidden="1"/>
    </xf>
    <xf numFmtId="3" fontId="34" fillId="0" borderId="28" xfId="334" applyNumberFormat="1" applyFont="1" applyFill="1" applyBorder="1" applyAlignment="1" applyProtection="1">
      <alignment horizontal="center" vertical="center"/>
      <protection hidden="1"/>
    </xf>
    <xf numFmtId="3" fontId="34" fillId="0" borderId="18" xfId="334" applyNumberFormat="1" applyFont="1" applyFill="1" applyBorder="1" applyAlignment="1" applyProtection="1">
      <alignment horizontal="center" vertical="center"/>
      <protection hidden="1"/>
    </xf>
    <xf numFmtId="3" fontId="34" fillId="0" borderId="31" xfId="334" applyNumberFormat="1" applyFont="1" applyFill="1" applyBorder="1" applyAlignment="1" applyProtection="1">
      <alignment horizontal="center" vertical="center"/>
      <protection hidden="1"/>
    </xf>
    <xf numFmtId="3" fontId="30" fillId="0" borderId="28" xfId="334" applyNumberFormat="1" applyFont="1" applyBorder="1" applyAlignment="1" applyProtection="1">
      <alignment horizontal="center" vertical="center"/>
      <protection hidden="1"/>
    </xf>
    <xf numFmtId="3" fontId="30" fillId="0" borderId="18" xfId="334" applyNumberFormat="1" applyFont="1" applyBorder="1" applyAlignment="1" applyProtection="1">
      <alignment horizontal="center" vertical="center"/>
      <protection hidden="1"/>
    </xf>
    <xf numFmtId="3" fontId="30" fillId="0" borderId="31" xfId="334" applyNumberFormat="1" applyFont="1" applyBorder="1" applyAlignment="1" applyProtection="1">
      <alignment horizontal="center" vertical="center"/>
      <protection hidden="1"/>
    </xf>
    <xf numFmtId="3" fontId="30" fillId="0" borderId="28" xfId="334" applyNumberFormat="1" applyFont="1" applyFill="1" applyBorder="1" applyAlignment="1" applyProtection="1">
      <alignment horizontal="center" vertical="center" wrapText="1"/>
      <protection hidden="1"/>
    </xf>
    <xf numFmtId="3" fontId="30" fillId="0" borderId="31" xfId="334" applyNumberFormat="1" applyFont="1" applyFill="1" applyBorder="1" applyAlignment="1" applyProtection="1">
      <alignment horizontal="center" vertical="center" wrapText="1"/>
      <protection hidden="1"/>
    </xf>
    <xf numFmtId="3" fontId="30" fillId="0" borderId="21" xfId="334" applyNumberFormat="1" applyFont="1" applyFill="1" applyBorder="1" applyAlignment="1" applyProtection="1">
      <alignment horizontal="center" vertical="center" wrapText="1"/>
      <protection hidden="1"/>
    </xf>
    <xf numFmtId="3" fontId="30" fillId="0" borderId="22" xfId="334" applyNumberFormat="1" applyFont="1" applyFill="1" applyBorder="1" applyAlignment="1" applyProtection="1">
      <alignment horizontal="center" vertical="center" wrapText="1"/>
      <protection hidden="1"/>
    </xf>
    <xf numFmtId="3" fontId="30" fillId="0" borderId="25" xfId="334" applyNumberFormat="1" applyFont="1" applyFill="1" applyBorder="1" applyAlignment="1" applyProtection="1">
      <alignment horizontal="center" vertical="center" wrapText="1"/>
      <protection hidden="1"/>
    </xf>
    <xf numFmtId="3" fontId="30" fillId="0" borderId="38" xfId="334" applyNumberFormat="1" applyFont="1" applyFill="1" applyBorder="1" applyAlignment="1" applyProtection="1">
      <alignment horizontal="center" vertical="center" wrapText="1"/>
      <protection hidden="1"/>
    </xf>
    <xf numFmtId="0" fontId="29" fillId="56" borderId="28" xfId="330" applyFont="1" applyFill="1" applyBorder="1" applyAlignment="1">
      <alignment horizontal="center" vertical="center" wrapText="1"/>
    </xf>
    <xf numFmtId="0" fontId="29" fillId="56" borderId="18" xfId="330" applyFont="1" applyFill="1" applyBorder="1" applyAlignment="1">
      <alignment horizontal="center" vertical="center" wrapText="1"/>
    </xf>
    <xf numFmtId="0" fontId="29" fillId="56" borderId="31" xfId="330" applyFont="1" applyFill="1" applyBorder="1" applyAlignment="1">
      <alignment horizontal="center" vertical="center" wrapText="1"/>
    </xf>
    <xf numFmtId="3" fontId="29" fillId="58" borderId="28" xfId="0" applyNumberFormat="1" applyFont="1" applyFill="1" applyBorder="1" applyAlignment="1" applyProtection="1">
      <alignment horizontal="center" vertical="center" wrapText="1"/>
      <protection hidden="1"/>
    </xf>
    <xf numFmtId="3" fontId="29" fillId="58" borderId="18" xfId="0" applyNumberFormat="1" applyFont="1" applyFill="1" applyBorder="1" applyAlignment="1" applyProtection="1">
      <alignment horizontal="center" vertical="center" wrapText="1"/>
      <protection hidden="1"/>
    </xf>
    <xf numFmtId="3" fontId="29" fillId="58" borderId="31" xfId="0" applyNumberFormat="1" applyFont="1" applyFill="1" applyBorder="1" applyAlignment="1" applyProtection="1">
      <alignment horizontal="center" vertical="center" wrapText="1"/>
      <protection hidden="1"/>
    </xf>
    <xf numFmtId="3" fontId="34" fillId="0" borderId="35" xfId="334" applyNumberFormat="1" applyFont="1" applyFill="1" applyBorder="1" applyAlignment="1" applyProtection="1">
      <alignment horizontal="center" vertical="center"/>
      <protection hidden="1"/>
    </xf>
    <xf numFmtId="3" fontId="34" fillId="0" borderId="41" xfId="334" applyNumberFormat="1" applyFont="1" applyFill="1" applyBorder="1" applyAlignment="1" applyProtection="1">
      <alignment horizontal="center" vertical="center"/>
      <protection hidden="1"/>
    </xf>
    <xf numFmtId="3" fontId="34" fillId="0" borderId="36" xfId="334" applyNumberFormat="1" applyFont="1" applyFill="1" applyBorder="1" applyAlignment="1" applyProtection="1">
      <alignment horizontal="center" vertical="center"/>
      <protection hidden="1"/>
    </xf>
    <xf numFmtId="3" fontId="34" fillId="0" borderId="37" xfId="334" applyNumberFormat="1" applyFont="1" applyFill="1" applyBorder="1" applyAlignment="1" applyProtection="1">
      <alignment horizontal="center" vertical="center"/>
      <protection hidden="1"/>
    </xf>
    <xf numFmtId="3" fontId="34" fillId="0" borderId="57" xfId="334" applyNumberFormat="1" applyFont="1" applyFill="1" applyBorder="1" applyAlignment="1" applyProtection="1">
      <alignment horizontal="center" vertical="center"/>
      <protection hidden="1"/>
    </xf>
    <xf numFmtId="3" fontId="34" fillId="0" borderId="32" xfId="334" applyNumberFormat="1" applyFont="1" applyFill="1" applyBorder="1" applyAlignment="1" applyProtection="1">
      <alignment horizontal="center" vertical="center"/>
      <protection hidden="1"/>
    </xf>
    <xf numFmtId="3" fontId="34" fillId="0" borderId="33" xfId="334" applyNumberFormat="1" applyFont="1" applyFill="1" applyBorder="1" applyAlignment="1" applyProtection="1">
      <alignment horizontal="center" vertical="center"/>
      <protection hidden="1"/>
    </xf>
    <xf numFmtId="3" fontId="34" fillId="0" borderId="40" xfId="334" applyNumberFormat="1" applyFont="1" applyFill="1" applyBorder="1" applyAlignment="1" applyProtection="1">
      <alignment horizontal="center" vertical="center"/>
      <protection hidden="1"/>
    </xf>
    <xf numFmtId="3" fontId="34" fillId="0" borderId="34" xfId="334" applyNumberFormat="1" applyFont="1" applyFill="1" applyBorder="1" applyAlignment="1" applyProtection="1">
      <alignment horizontal="center" vertical="center"/>
      <protection hidden="1"/>
    </xf>
    <xf numFmtId="0" fontId="29" fillId="0" borderId="17" xfId="330" applyFont="1" applyBorder="1" applyAlignment="1" applyProtection="1">
      <alignment horizontal="center" vertical="center" wrapText="1"/>
      <protection hidden="1"/>
    </xf>
    <xf numFmtId="0" fontId="29" fillId="0" borderId="20" xfId="330" applyFont="1" applyBorder="1" applyAlignment="1" applyProtection="1">
      <alignment horizontal="center" vertical="center" wrapText="1"/>
      <protection hidden="1"/>
    </xf>
    <xf numFmtId="0" fontId="29" fillId="0" borderId="15" xfId="330" applyFont="1" applyBorder="1" applyAlignment="1" applyProtection="1">
      <alignment horizontal="center" vertical="center" wrapText="1"/>
      <protection hidden="1"/>
    </xf>
    <xf numFmtId="0" fontId="30" fillId="0" borderId="37" xfId="334" applyNumberFormat="1" applyFont="1" applyBorder="1" applyAlignment="1" applyProtection="1">
      <alignment horizontal="center" vertical="center" wrapText="1"/>
      <protection hidden="1"/>
    </xf>
    <xf numFmtId="0" fontId="30" fillId="0" borderId="32" xfId="334" applyNumberFormat="1" applyFont="1" applyBorder="1" applyAlignment="1" applyProtection="1">
      <alignment horizontal="center" vertical="center" wrapText="1"/>
      <protection hidden="1"/>
    </xf>
    <xf numFmtId="0" fontId="29" fillId="56" borderId="28" xfId="334" applyNumberFormat="1" applyFont="1" applyFill="1" applyBorder="1" applyAlignment="1" applyProtection="1">
      <alignment horizontal="center" vertical="center" wrapText="1"/>
      <protection hidden="1"/>
    </xf>
    <xf numFmtId="0" fontId="29" fillId="56" borderId="31" xfId="334" applyNumberFormat="1" applyFont="1" applyFill="1" applyBorder="1" applyAlignment="1" applyProtection="1">
      <alignment horizontal="center" vertical="center" wrapText="1"/>
      <protection hidden="1"/>
    </xf>
    <xf numFmtId="0" fontId="30" fillId="0" borderId="33" xfId="334" applyNumberFormat="1" applyFont="1" applyBorder="1" applyAlignment="1" applyProtection="1">
      <alignment horizontal="center" vertical="center" wrapText="1"/>
      <protection hidden="1"/>
    </xf>
    <xf numFmtId="0" fontId="30" fillId="0" borderId="34" xfId="334" applyNumberFormat="1" applyFont="1" applyBorder="1" applyAlignment="1" applyProtection="1">
      <alignment horizontal="center" vertical="center" wrapText="1"/>
      <protection hidden="1"/>
    </xf>
    <xf numFmtId="0" fontId="34" fillId="0" borderId="21" xfId="334" applyFont="1" applyBorder="1" applyAlignment="1">
      <alignment horizontal="left" vertical="center" wrapText="1"/>
    </xf>
    <xf numFmtId="0" fontId="34" fillId="0" borderId="19" xfId="334" applyFont="1" applyBorder="1" applyAlignment="1">
      <alignment horizontal="left" vertical="center" wrapText="1"/>
    </xf>
    <xf numFmtId="0" fontId="34" fillId="0" borderId="22" xfId="334" applyFont="1" applyBorder="1" applyAlignment="1">
      <alignment horizontal="left" vertical="center" wrapText="1"/>
    </xf>
    <xf numFmtId="0" fontId="34" fillId="0" borderId="25" xfId="334" applyFont="1" applyBorder="1" applyAlignment="1">
      <alignment horizontal="left" vertical="center" wrapText="1"/>
    </xf>
    <xf numFmtId="0" fontId="34" fillId="0" borderId="16" xfId="334" applyFont="1" applyBorder="1" applyAlignment="1">
      <alignment horizontal="left" vertical="center" wrapText="1"/>
    </xf>
    <xf numFmtId="0" fontId="34" fillId="0" borderId="38" xfId="334" applyFont="1" applyBorder="1" applyAlignment="1">
      <alignment horizontal="left" vertical="center" wrapText="1"/>
    </xf>
    <xf numFmtId="169" fontId="34" fillId="0" borderId="37" xfId="334" applyNumberFormat="1" applyFont="1" applyBorder="1" applyAlignment="1" applyProtection="1">
      <alignment horizontal="center" vertical="center" wrapText="1"/>
      <protection hidden="1"/>
    </xf>
    <xf numFmtId="169" fontId="34" fillId="0" borderId="32" xfId="334" applyNumberFormat="1" applyFont="1" applyBorder="1" applyAlignment="1" applyProtection="1">
      <alignment horizontal="center" vertical="center" wrapText="1"/>
      <protection hidden="1"/>
    </xf>
    <xf numFmtId="169" fontId="34" fillId="0" borderId="35" xfId="334" applyNumberFormat="1" applyFont="1" applyBorder="1" applyAlignment="1" applyProtection="1">
      <alignment horizontal="center" vertical="center" wrapText="1"/>
      <protection hidden="1"/>
    </xf>
    <xf numFmtId="169" fontId="34" fillId="0" borderId="36" xfId="334" applyNumberFormat="1" applyFont="1" applyBorder="1" applyAlignment="1" applyProtection="1">
      <alignment horizontal="center" vertical="center" wrapText="1"/>
      <protection hidden="1"/>
    </xf>
    <xf numFmtId="169" fontId="34" fillId="0" borderId="33" xfId="334" applyNumberFormat="1" applyFont="1" applyBorder="1" applyAlignment="1" applyProtection="1">
      <alignment horizontal="center" vertical="center" wrapText="1"/>
      <protection hidden="1"/>
    </xf>
    <xf numFmtId="169" fontId="34" fillId="0" borderId="34" xfId="334" applyNumberFormat="1" applyFont="1" applyBorder="1" applyAlignment="1" applyProtection="1">
      <alignment horizontal="center" vertical="center" wrapText="1"/>
      <protection hidden="1"/>
    </xf>
    <xf numFmtId="0" fontId="30" fillId="0" borderId="17" xfId="334" applyFont="1" applyBorder="1" applyAlignment="1" applyProtection="1">
      <alignment horizontal="center" vertical="center"/>
      <protection hidden="1"/>
    </xf>
    <xf numFmtId="0" fontId="30" fillId="0" borderId="20" xfId="334" applyFont="1" applyBorder="1" applyAlignment="1" applyProtection="1">
      <alignment horizontal="center" vertical="center"/>
      <protection hidden="1"/>
    </xf>
    <xf numFmtId="0" fontId="30" fillId="0" borderId="15" xfId="334" applyFont="1" applyBorder="1" applyAlignment="1" applyProtection="1">
      <alignment horizontal="center" vertical="center"/>
      <protection hidden="1"/>
    </xf>
    <xf numFmtId="3" fontId="29" fillId="56" borderId="21" xfId="334" applyNumberFormat="1" applyFont="1" applyFill="1" applyBorder="1" applyAlignment="1" applyProtection="1">
      <alignment horizontal="center" vertical="center" wrapText="1"/>
      <protection hidden="1"/>
    </xf>
    <xf numFmtId="3" fontId="29" fillId="56" borderId="22" xfId="334" applyNumberFormat="1" applyFont="1" applyFill="1" applyBorder="1" applyAlignment="1" applyProtection="1">
      <alignment horizontal="center" vertical="center" wrapText="1"/>
      <protection hidden="1"/>
    </xf>
    <xf numFmtId="3" fontId="29" fillId="56" borderId="25" xfId="334" applyNumberFormat="1" applyFont="1" applyFill="1" applyBorder="1" applyAlignment="1" applyProtection="1">
      <alignment horizontal="center" vertical="center" wrapText="1"/>
      <protection hidden="1"/>
    </xf>
    <xf numFmtId="3" fontId="29" fillId="56" borderId="38" xfId="334" applyNumberFormat="1" applyFont="1" applyFill="1" applyBorder="1" applyAlignment="1" applyProtection="1">
      <alignment horizontal="center" vertical="center" wrapText="1"/>
      <protection hidden="1"/>
    </xf>
    <xf numFmtId="166" fontId="30" fillId="0" borderId="28" xfId="334" applyNumberFormat="1" applyFont="1" applyBorder="1" applyAlignment="1" applyProtection="1">
      <alignment horizontal="center" vertical="center"/>
      <protection hidden="1"/>
    </xf>
    <xf numFmtId="166" fontId="30" fillId="0" borderId="31" xfId="334" applyNumberFormat="1" applyFont="1" applyBorder="1" applyAlignment="1" applyProtection="1">
      <alignment horizontal="center" vertical="center"/>
      <protection hidden="1"/>
    </xf>
    <xf numFmtId="0" fontId="29" fillId="0" borderId="28" xfId="330" applyFont="1" applyBorder="1" applyAlignment="1" applyProtection="1">
      <alignment horizontal="center" vertical="center" wrapText="1"/>
      <protection hidden="1"/>
    </xf>
    <xf numFmtId="0" fontId="29" fillId="0" borderId="18" xfId="330" applyFont="1" applyBorder="1" applyAlignment="1" applyProtection="1">
      <alignment horizontal="center" vertical="center" wrapText="1"/>
      <protection hidden="1"/>
    </xf>
    <xf numFmtId="0" fontId="29" fillId="0" borderId="31" xfId="330" applyFont="1" applyBorder="1" applyAlignment="1" applyProtection="1">
      <alignment horizontal="center" vertical="center" wrapText="1"/>
      <protection hidden="1"/>
    </xf>
    <xf numFmtId="2" fontId="30" fillId="0" borderId="28" xfId="334" applyNumberFormat="1" applyFont="1" applyBorder="1" applyAlignment="1" applyProtection="1">
      <alignment horizontal="center" vertical="center"/>
      <protection hidden="1"/>
    </xf>
    <xf numFmtId="2" fontId="30" fillId="0" borderId="18" xfId="334" applyNumberFormat="1" applyFont="1" applyBorder="1" applyAlignment="1" applyProtection="1">
      <alignment horizontal="center" vertical="center"/>
      <protection hidden="1"/>
    </xf>
    <xf numFmtId="2" fontId="30" fillId="0" borderId="31" xfId="334" applyNumberFormat="1" applyFont="1" applyBorder="1" applyAlignment="1" applyProtection="1">
      <alignment horizontal="center" vertical="center"/>
      <protection hidden="1"/>
    </xf>
    <xf numFmtId="166" fontId="30" fillId="0" borderId="17" xfId="334" applyNumberFormat="1" applyFont="1" applyBorder="1" applyAlignment="1" applyProtection="1">
      <alignment horizontal="center" vertical="center"/>
      <protection hidden="1"/>
    </xf>
    <xf numFmtId="166" fontId="30" fillId="0" borderId="15" xfId="334" applyNumberFormat="1" applyFont="1" applyBorder="1" applyAlignment="1" applyProtection="1">
      <alignment horizontal="center" vertical="center"/>
      <protection hidden="1"/>
    </xf>
    <xf numFmtId="0" fontId="30" fillId="0" borderId="17" xfId="334" applyFont="1" applyBorder="1" applyAlignment="1" applyProtection="1">
      <alignment horizontal="center" vertical="center" wrapText="1"/>
      <protection hidden="1"/>
    </xf>
    <xf numFmtId="0" fontId="30" fillId="0" borderId="15" xfId="334" applyFont="1" applyBorder="1" applyAlignment="1" applyProtection="1">
      <alignment horizontal="center" vertical="center" wrapText="1"/>
      <protection hidden="1"/>
    </xf>
    <xf numFmtId="0" fontId="30" fillId="0" borderId="20" xfId="334" applyFont="1" applyBorder="1" applyAlignment="1" applyProtection="1">
      <alignment horizontal="center" vertical="center" wrapText="1"/>
      <protection hidden="1"/>
    </xf>
    <xf numFmtId="0" fontId="33" fillId="0" borderId="17" xfId="334" applyFont="1" applyBorder="1" applyAlignment="1">
      <alignment horizontal="center" vertical="center" wrapText="1"/>
    </xf>
    <xf numFmtId="0" fontId="33" fillId="0" borderId="15" xfId="334" applyFont="1" applyBorder="1" applyAlignment="1">
      <alignment horizontal="center" vertical="center" wrapText="1"/>
    </xf>
    <xf numFmtId="0" fontId="29" fillId="0" borderId="21" xfId="330" applyFont="1" applyBorder="1" applyAlignment="1" applyProtection="1">
      <alignment horizontal="center" vertical="center" wrapText="1"/>
      <protection hidden="1"/>
    </xf>
    <xf numFmtId="0" fontId="29" fillId="0" borderId="22" xfId="330" applyFont="1" applyBorder="1" applyAlignment="1" applyProtection="1">
      <alignment horizontal="center" vertical="center" wrapText="1"/>
      <protection hidden="1"/>
    </xf>
    <xf numFmtId="0" fontId="29" fillId="0" borderId="23" xfId="330" applyFont="1" applyBorder="1" applyAlignment="1" applyProtection="1">
      <alignment horizontal="center" vertical="center" wrapText="1"/>
      <protection hidden="1"/>
    </xf>
    <xf numFmtId="0" fontId="29" fillId="0" borderId="24" xfId="330" applyFont="1" applyBorder="1" applyAlignment="1" applyProtection="1">
      <alignment horizontal="center" vertical="center" wrapText="1"/>
      <protection hidden="1"/>
    </xf>
    <xf numFmtId="0" fontId="29" fillId="0" borderId="25" xfId="330" applyFont="1" applyBorder="1" applyAlignment="1" applyProtection="1">
      <alignment horizontal="center" vertical="center" wrapText="1"/>
      <protection hidden="1"/>
    </xf>
    <xf numFmtId="0" fontId="29" fillId="0" borderId="38" xfId="330" applyFont="1" applyBorder="1" applyAlignment="1" applyProtection="1">
      <alignment horizontal="center" vertical="center" wrapText="1"/>
      <protection hidden="1"/>
    </xf>
    <xf numFmtId="0" fontId="30" fillId="0" borderId="17" xfId="330" applyFont="1" applyBorder="1" applyAlignment="1" applyProtection="1">
      <alignment horizontal="center" vertical="center" wrapText="1"/>
      <protection hidden="1"/>
    </xf>
    <xf numFmtId="0" fontId="30" fillId="0" borderId="20" xfId="330" applyFont="1" applyBorder="1" applyAlignment="1" applyProtection="1">
      <alignment horizontal="center" vertical="center" wrapText="1"/>
      <protection hidden="1"/>
    </xf>
    <xf numFmtId="0" fontId="30" fillId="0" borderId="15" xfId="330" applyFont="1" applyBorder="1" applyAlignment="1" applyProtection="1">
      <alignment horizontal="center" vertical="center" wrapText="1"/>
      <protection hidden="1"/>
    </xf>
    <xf numFmtId="0" fontId="29" fillId="0" borderId="17" xfId="334" applyFont="1" applyFill="1" applyBorder="1" applyAlignment="1" applyProtection="1">
      <alignment horizontal="center" vertical="center" wrapText="1"/>
      <protection hidden="1"/>
    </xf>
    <xf numFmtId="0" fontId="29" fillId="0" borderId="15" xfId="334" applyFont="1" applyFill="1" applyBorder="1" applyAlignment="1" applyProtection="1">
      <alignment horizontal="center" vertical="center" wrapText="1"/>
      <protection hidden="1"/>
    </xf>
    <xf numFmtId="0" fontId="43" fillId="48" borderId="17" xfId="357" applyFont="1" applyFill="1" applyBorder="1" applyAlignment="1">
      <alignment horizontal="center" vertical="center" wrapText="1"/>
    </xf>
    <xf numFmtId="0" fontId="43" fillId="48" borderId="15" xfId="357" applyFont="1" applyFill="1" applyBorder="1" applyAlignment="1">
      <alignment horizontal="center" vertical="center" wrapText="1"/>
    </xf>
    <xf numFmtId="0" fontId="29" fillId="0" borderId="53" xfId="334" applyFont="1" applyBorder="1" applyAlignment="1" applyProtection="1">
      <alignment horizontal="center" vertical="center" wrapText="1"/>
      <protection hidden="1"/>
    </xf>
    <xf numFmtId="0" fontId="29" fillId="0" borderId="18" xfId="334" applyFont="1" applyBorder="1" applyAlignment="1" applyProtection="1">
      <alignment horizontal="center" vertical="center" wrapText="1"/>
      <protection hidden="1"/>
    </xf>
    <xf numFmtId="0" fontId="29" fillId="0" borderId="31" xfId="334" applyFont="1" applyBorder="1" applyAlignment="1" applyProtection="1">
      <alignment horizontal="center" vertical="center" wrapText="1"/>
      <protection hidden="1"/>
    </xf>
    <xf numFmtId="0" fontId="29" fillId="0" borderId="21" xfId="334" applyFont="1" applyFill="1" applyBorder="1" applyAlignment="1" applyProtection="1">
      <alignment horizontal="center" vertical="center" wrapText="1"/>
      <protection hidden="1"/>
    </xf>
    <xf numFmtId="0" fontId="29" fillId="0" borderId="25" xfId="334" applyFont="1" applyFill="1" applyBorder="1" applyAlignment="1" applyProtection="1">
      <alignment horizontal="center" vertical="center" wrapText="1"/>
      <protection hidden="1"/>
    </xf>
    <xf numFmtId="0" fontId="30" fillId="0" borderId="10" xfId="334" applyFont="1" applyFill="1" applyBorder="1" applyAlignment="1" applyProtection="1">
      <alignment horizontal="center" vertical="center" wrapText="1"/>
      <protection hidden="1"/>
    </xf>
    <xf numFmtId="0" fontId="29" fillId="0" borderId="28" xfId="334" applyFont="1" applyBorder="1" applyAlignment="1" applyProtection="1">
      <alignment horizontal="center" vertical="center" wrapText="1"/>
      <protection hidden="1"/>
    </xf>
    <xf numFmtId="166" fontId="30" fillId="0" borderId="21" xfId="334" applyNumberFormat="1" applyFont="1" applyBorder="1" applyAlignment="1" applyProtection="1">
      <alignment horizontal="center" vertical="center"/>
      <protection hidden="1"/>
    </xf>
    <xf numFmtId="166" fontId="30" fillId="0" borderId="22" xfId="334" applyNumberFormat="1" applyFont="1" applyBorder="1" applyAlignment="1" applyProtection="1">
      <alignment horizontal="center" vertical="center"/>
      <protection hidden="1"/>
    </xf>
    <xf numFmtId="166" fontId="30" fillId="0" borderId="25" xfId="334" applyNumberFormat="1" applyFont="1" applyBorder="1" applyAlignment="1" applyProtection="1">
      <alignment horizontal="center" vertical="center"/>
      <protection hidden="1"/>
    </xf>
    <xf numFmtId="166" fontId="30" fillId="0" borderId="38" xfId="334" applyNumberFormat="1" applyFont="1" applyBorder="1" applyAlignment="1" applyProtection="1">
      <alignment horizontal="center" vertical="center"/>
      <protection hidden="1"/>
    </xf>
    <xf numFmtId="3" fontId="30" fillId="0" borderId="28" xfId="334" applyNumberFormat="1" applyFont="1" applyBorder="1" applyAlignment="1" applyProtection="1">
      <alignment horizontal="center" vertical="center" wrapText="1"/>
      <protection hidden="1"/>
    </xf>
    <xf numFmtId="3" fontId="30" fillId="0" borderId="31" xfId="334" applyNumberFormat="1" applyFont="1" applyBorder="1" applyAlignment="1" applyProtection="1">
      <alignment horizontal="center" vertical="center" wrapText="1"/>
      <protection hidden="1"/>
    </xf>
    <xf numFmtId="0" fontId="33" fillId="48" borderId="28" xfId="334" applyFont="1" applyFill="1" applyBorder="1" applyAlignment="1">
      <alignment horizontal="center" vertical="center" wrapText="1"/>
    </xf>
    <xf numFmtId="0" fontId="33" fillId="48" borderId="18" xfId="334" applyFont="1" applyFill="1" applyBorder="1" applyAlignment="1">
      <alignment horizontal="center" vertical="center" wrapText="1"/>
    </xf>
    <xf numFmtId="0" fontId="33" fillId="48" borderId="31" xfId="334" applyFont="1" applyFill="1" applyBorder="1" applyAlignment="1">
      <alignment horizontal="center" vertical="center" wrapText="1"/>
    </xf>
    <xf numFmtId="0" fontId="30" fillId="0" borderId="28" xfId="330" applyFont="1" applyBorder="1" applyAlignment="1" applyProtection="1">
      <alignment horizontal="center" vertical="center" wrapText="1"/>
      <protection hidden="1"/>
    </xf>
    <xf numFmtId="0" fontId="30" fillId="0" borderId="31" xfId="330" applyFont="1" applyBorder="1" applyAlignment="1" applyProtection="1">
      <alignment horizontal="center" vertical="center" wrapText="1"/>
      <protection hidden="1"/>
    </xf>
    <xf numFmtId="0" fontId="36" fillId="0" borderId="0" xfId="356" applyFont="1" applyBorder="1" applyAlignment="1" applyProtection="1">
      <alignment horizontal="center" wrapText="1"/>
      <protection hidden="1"/>
    </xf>
    <xf numFmtId="0" fontId="36" fillId="0" borderId="16" xfId="356" applyFont="1" applyBorder="1" applyAlignment="1" applyProtection="1">
      <alignment horizontal="center" wrapText="1"/>
      <protection hidden="1"/>
    </xf>
    <xf numFmtId="166" fontId="30" fillId="0" borderId="28" xfId="334" applyNumberFormat="1" applyFont="1" applyFill="1" applyBorder="1" applyAlignment="1" applyProtection="1">
      <alignment horizontal="center" vertical="center"/>
      <protection hidden="1"/>
    </xf>
    <xf numFmtId="166" fontId="30" fillId="0" borderId="31" xfId="334" applyNumberFormat="1" applyFont="1" applyFill="1" applyBorder="1" applyAlignment="1" applyProtection="1">
      <alignment horizontal="center" vertical="center"/>
      <protection hidden="1"/>
    </xf>
    <xf numFmtId="0" fontId="29" fillId="0" borderId="21" xfId="334" applyFont="1" applyBorder="1" applyAlignment="1" applyProtection="1">
      <alignment horizontal="center" vertical="center" wrapText="1"/>
      <protection hidden="1"/>
    </xf>
    <xf numFmtId="0" fontId="29" fillId="0" borderId="19" xfId="334" applyFont="1" applyBorder="1" applyAlignment="1" applyProtection="1">
      <alignment horizontal="center" vertical="center" wrapText="1"/>
      <protection hidden="1"/>
    </xf>
    <xf numFmtId="0" fontId="29" fillId="0" borderId="22" xfId="334" applyFont="1" applyBorder="1" applyAlignment="1" applyProtection="1">
      <alignment horizontal="center" vertical="center" wrapText="1"/>
      <protection hidden="1"/>
    </xf>
    <xf numFmtId="0" fontId="29" fillId="0" borderId="23" xfId="334" applyFont="1" applyBorder="1" applyAlignment="1" applyProtection="1">
      <alignment horizontal="center" vertical="center" wrapText="1"/>
      <protection hidden="1"/>
    </xf>
    <xf numFmtId="0" fontId="29" fillId="0" borderId="0" xfId="334" applyFont="1" applyBorder="1" applyAlignment="1" applyProtection="1">
      <alignment horizontal="center" vertical="center" wrapText="1"/>
      <protection hidden="1"/>
    </xf>
    <xf numFmtId="0" fontId="29" fillId="0" borderId="24" xfId="334" applyFont="1" applyBorder="1" applyAlignment="1" applyProtection="1">
      <alignment horizontal="center" vertical="center" wrapText="1"/>
      <protection hidden="1"/>
    </xf>
    <xf numFmtId="0" fontId="29" fillId="0" borderId="25" xfId="334" applyFont="1" applyBorder="1" applyAlignment="1" applyProtection="1">
      <alignment horizontal="center" vertical="center" wrapText="1"/>
      <protection hidden="1"/>
    </xf>
    <xf numFmtId="0" fontId="29" fillId="0" borderId="16" xfId="334" applyFont="1" applyBorder="1" applyAlignment="1" applyProtection="1">
      <alignment horizontal="center" vertical="center" wrapText="1"/>
      <protection hidden="1"/>
    </xf>
    <xf numFmtId="0" fontId="29" fillId="0" borderId="38" xfId="334" applyFont="1" applyBorder="1" applyAlignment="1" applyProtection="1">
      <alignment horizontal="center" vertical="center" wrapText="1"/>
      <protection hidden="1"/>
    </xf>
    <xf numFmtId="0" fontId="30" fillId="0" borderId="28" xfId="334" applyNumberFormat="1" applyFont="1" applyFill="1" applyBorder="1" applyAlignment="1" applyProtection="1">
      <alignment horizontal="center" vertical="center" wrapText="1"/>
      <protection hidden="1"/>
    </xf>
    <xf numFmtId="0" fontId="30" fillId="0" borderId="31" xfId="334" applyNumberFormat="1" applyFont="1" applyFill="1" applyBorder="1" applyAlignment="1" applyProtection="1">
      <alignment horizontal="center" vertical="center" wrapText="1"/>
      <protection hidden="1"/>
    </xf>
    <xf numFmtId="0" fontId="30" fillId="0" borderId="28" xfId="334" applyFont="1" applyFill="1" applyBorder="1" applyAlignment="1" applyProtection="1">
      <alignment horizontal="center" vertical="center" wrapText="1"/>
      <protection hidden="1"/>
    </xf>
    <xf numFmtId="0" fontId="30" fillId="0" borderId="31" xfId="334" applyFont="1" applyFill="1" applyBorder="1" applyAlignment="1" applyProtection="1">
      <alignment horizontal="center" vertical="center" wrapText="1"/>
      <protection hidden="1"/>
    </xf>
    <xf numFmtId="0" fontId="29" fillId="58" borderId="28" xfId="0" applyFont="1" applyFill="1" applyBorder="1" applyAlignment="1">
      <alignment horizontal="center" vertical="center" wrapText="1"/>
    </xf>
    <xf numFmtId="0" fontId="29" fillId="58" borderId="18" xfId="0" applyFont="1" applyFill="1" applyBorder="1" applyAlignment="1">
      <alignment horizontal="center" vertical="center" wrapText="1"/>
    </xf>
    <xf numFmtId="0" fontId="29" fillId="58" borderId="31" xfId="0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9" fillId="56" borderId="28" xfId="0" applyFont="1" applyFill="1" applyBorder="1" applyAlignment="1">
      <alignment horizontal="center" vertical="center" wrapText="1"/>
    </xf>
    <xf numFmtId="0" fontId="29" fillId="56" borderId="18" xfId="0" applyFont="1" applyFill="1" applyBorder="1" applyAlignment="1">
      <alignment horizontal="center" vertical="center" wrapText="1"/>
    </xf>
    <xf numFmtId="0" fontId="29" fillId="56" borderId="31" xfId="0" applyFont="1" applyFill="1" applyBorder="1" applyAlignment="1">
      <alignment horizontal="center" vertical="center" wrapText="1"/>
    </xf>
    <xf numFmtId="0" fontId="84" fillId="0" borderId="10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/>
    </xf>
    <xf numFmtId="0" fontId="30" fillId="0" borderId="10" xfId="0" applyFont="1" applyFill="1" applyBorder="1" applyAlignment="1">
      <alignment horizontal="left" vertical="center"/>
    </xf>
    <xf numFmtId="0" fontId="84" fillId="0" borderId="28" xfId="0" applyFont="1" applyFill="1" applyBorder="1" applyAlignment="1">
      <alignment horizontal="center" vertical="center" wrapText="1"/>
    </xf>
    <xf numFmtId="0" fontId="84" fillId="0" borderId="31" xfId="0" applyFont="1" applyFill="1" applyBorder="1" applyAlignment="1">
      <alignment horizontal="center" vertical="center"/>
    </xf>
    <xf numFmtId="0" fontId="84" fillId="0" borderId="28" xfId="0" applyFont="1" applyBorder="1" applyAlignment="1">
      <alignment horizontal="center" vertical="center"/>
    </xf>
    <xf numFmtId="0" fontId="84" fillId="0" borderId="31" xfId="0" applyFont="1" applyBorder="1" applyAlignment="1">
      <alignment horizontal="center" vertical="center"/>
    </xf>
    <xf numFmtId="0" fontId="34" fillId="0" borderId="17" xfId="355" applyFont="1" applyBorder="1" applyAlignment="1">
      <alignment horizontal="left" vertical="center" wrapText="1"/>
    </xf>
    <xf numFmtId="0" fontId="34" fillId="0" borderId="15" xfId="355" applyFont="1" applyBorder="1" applyAlignment="1">
      <alignment horizontal="left" vertical="center" wrapText="1"/>
    </xf>
    <xf numFmtId="4" fontId="30" fillId="0" borderId="28" xfId="355" applyNumberFormat="1" applyFont="1" applyFill="1" applyBorder="1" applyAlignment="1">
      <alignment horizontal="center" vertical="center" wrapText="1"/>
    </xf>
    <xf numFmtId="4" fontId="30" fillId="0" borderId="31" xfId="355" applyNumberFormat="1" applyFont="1" applyFill="1" applyBorder="1" applyAlignment="1">
      <alignment horizontal="center" vertical="center" wrapText="1"/>
    </xf>
    <xf numFmtId="4" fontId="30" fillId="0" borderId="21" xfId="355" applyNumberFormat="1" applyFont="1" applyFill="1" applyBorder="1" applyAlignment="1">
      <alignment horizontal="center" vertical="center" wrapText="1"/>
    </xf>
    <xf numFmtId="4" fontId="30" fillId="0" borderId="22" xfId="355" applyNumberFormat="1" applyFont="1" applyFill="1" applyBorder="1" applyAlignment="1">
      <alignment horizontal="center" vertical="center" wrapText="1"/>
    </xf>
    <xf numFmtId="4" fontId="30" fillId="0" borderId="25" xfId="355" applyNumberFormat="1" applyFont="1" applyFill="1" applyBorder="1" applyAlignment="1">
      <alignment horizontal="center" vertical="center" wrapText="1"/>
    </xf>
    <xf numFmtId="4" fontId="30" fillId="0" borderId="38" xfId="355" applyNumberFormat="1" applyFont="1" applyFill="1" applyBorder="1" applyAlignment="1">
      <alignment horizontal="center" vertical="center" wrapText="1"/>
    </xf>
    <xf numFmtId="0" fontId="34" fillId="0" borderId="20" xfId="355" applyFont="1" applyBorder="1" applyAlignment="1">
      <alignment horizontal="left" vertical="center" wrapText="1"/>
    </xf>
    <xf numFmtId="49" fontId="30" fillId="55" borderId="28" xfId="355" applyNumberFormat="1" applyFont="1" applyFill="1" applyBorder="1" applyAlignment="1">
      <alignment horizontal="center" vertical="center" wrapText="1"/>
    </xf>
    <xf numFmtId="49" fontId="30" fillId="55" borderId="18" xfId="355" applyNumberFormat="1" applyFont="1" applyFill="1" applyBorder="1" applyAlignment="1">
      <alignment horizontal="center" vertical="center" wrapText="1"/>
    </xf>
    <xf numFmtId="49" fontId="30" fillId="55" borderId="31" xfId="355" applyNumberFormat="1" applyFont="1" applyFill="1" applyBorder="1" applyAlignment="1">
      <alignment horizontal="center" vertical="center" wrapText="1"/>
    </xf>
    <xf numFmtId="4" fontId="30" fillId="55" borderId="28" xfId="355" applyNumberFormat="1" applyFont="1" applyFill="1" applyBorder="1" applyAlignment="1">
      <alignment horizontal="center" vertical="center" wrapText="1"/>
    </xf>
    <xf numFmtId="4" fontId="30" fillId="55" borderId="31" xfId="355" applyNumberFormat="1" applyFont="1" applyFill="1" applyBorder="1" applyAlignment="1">
      <alignment horizontal="center" vertical="center" wrapText="1"/>
    </xf>
    <xf numFmtId="0" fontId="30" fillId="0" borderId="28" xfId="355" applyFont="1" applyFill="1" applyBorder="1" applyAlignment="1">
      <alignment horizontal="center" vertical="center" wrapText="1"/>
    </xf>
    <xf numFmtId="0" fontId="30" fillId="0" borderId="31" xfId="355" applyFont="1" applyFill="1" applyBorder="1" applyAlignment="1">
      <alignment horizontal="center" vertical="center" wrapText="1"/>
    </xf>
    <xf numFmtId="0" fontId="30" fillId="0" borderId="18" xfId="355" applyFont="1" applyFill="1" applyBorder="1" applyAlignment="1">
      <alignment horizontal="center" vertical="center" wrapText="1"/>
    </xf>
    <xf numFmtId="168" fontId="33" fillId="47" borderId="10" xfId="355" applyNumberFormat="1" applyFont="1" applyFill="1" applyBorder="1" applyAlignment="1">
      <alignment horizontal="center" vertical="center" wrapText="1"/>
    </xf>
    <xf numFmtId="168" fontId="33" fillId="47" borderId="17" xfId="355" applyNumberFormat="1" applyFont="1" applyFill="1" applyBorder="1" applyAlignment="1">
      <alignment horizontal="center" vertical="center" wrapText="1"/>
    </xf>
    <xf numFmtId="0" fontId="33" fillId="47" borderId="28" xfId="355" applyFont="1" applyFill="1" applyBorder="1" applyAlignment="1">
      <alignment horizontal="center" wrapText="1"/>
    </xf>
    <xf numFmtId="0" fontId="33" fillId="47" borderId="31" xfId="355" applyFont="1" applyFill="1" applyBorder="1" applyAlignment="1">
      <alignment horizontal="center" wrapText="1"/>
    </xf>
    <xf numFmtId="0" fontId="30" fillId="0" borderId="29" xfId="355" applyFont="1" applyFill="1" applyBorder="1" applyAlignment="1">
      <alignment horizontal="center" wrapText="1"/>
    </xf>
    <xf numFmtId="0" fontId="30" fillId="0" borderId="20" xfId="355" applyFont="1" applyFill="1" applyBorder="1" applyAlignment="1">
      <alignment horizontal="center" wrapText="1"/>
    </xf>
    <xf numFmtId="0" fontId="30" fillId="0" borderId="15" xfId="355" applyFont="1" applyFill="1" applyBorder="1" applyAlignment="1">
      <alignment horizontal="center" wrapText="1"/>
    </xf>
    <xf numFmtId="3" fontId="34" fillId="0" borderId="10" xfId="355" applyNumberFormat="1" applyFont="1" applyFill="1" applyBorder="1" applyAlignment="1">
      <alignment horizontal="center" vertical="center" wrapText="1"/>
    </xf>
    <xf numFmtId="3" fontId="34" fillId="0" borderId="62" xfId="355" applyNumberFormat="1" applyFont="1" applyFill="1" applyBorder="1" applyAlignment="1">
      <alignment horizontal="center" vertical="center" wrapText="1"/>
    </xf>
    <xf numFmtId="0" fontId="30" fillId="0" borderId="59" xfId="355" applyFont="1" applyFill="1" applyBorder="1" applyAlignment="1">
      <alignment horizontal="center" vertical="center" wrapText="1"/>
    </xf>
    <xf numFmtId="0" fontId="30" fillId="0" borderId="60" xfId="355" applyFont="1" applyFill="1" applyBorder="1" applyAlignment="1">
      <alignment horizontal="center" vertical="center" wrapText="1"/>
    </xf>
    <xf numFmtId="0" fontId="30" fillId="0" borderId="61" xfId="355" applyFont="1" applyFill="1" applyBorder="1" applyAlignment="1">
      <alignment horizontal="center" vertical="center" wrapText="1"/>
    </xf>
    <xf numFmtId="0" fontId="30" fillId="0" borderId="23" xfId="355" applyFont="1" applyFill="1" applyBorder="1" applyAlignment="1">
      <alignment horizontal="center" vertical="center" wrapText="1"/>
    </xf>
    <xf numFmtId="0" fontId="30" fillId="0" borderId="0" xfId="355" applyFont="1" applyFill="1" applyBorder="1" applyAlignment="1">
      <alignment horizontal="center" vertical="center" wrapText="1"/>
    </xf>
    <xf numFmtId="0" fontId="30" fillId="0" borderId="24" xfId="355" applyFont="1" applyFill="1" applyBorder="1" applyAlignment="1">
      <alignment horizontal="center" vertical="center" wrapText="1"/>
    </xf>
    <xf numFmtId="0" fontId="30" fillId="0" borderId="25" xfId="355" applyFont="1" applyFill="1" applyBorder="1" applyAlignment="1">
      <alignment horizontal="center" vertical="center" wrapText="1"/>
    </xf>
    <xf numFmtId="0" fontId="30" fillId="0" borderId="16" xfId="355" applyFont="1" applyFill="1" applyBorder="1" applyAlignment="1">
      <alignment horizontal="center" vertical="center" wrapText="1"/>
    </xf>
    <xf numFmtId="0" fontId="30" fillId="0" borderId="38" xfId="355" applyFont="1" applyFill="1" applyBorder="1" applyAlignment="1">
      <alignment horizontal="center" vertical="center" wrapText="1"/>
    </xf>
    <xf numFmtId="0" fontId="30" fillId="0" borderId="66" xfId="355" applyFont="1" applyFill="1" applyBorder="1" applyAlignment="1">
      <alignment horizontal="center" vertical="center" wrapText="1"/>
    </xf>
    <xf numFmtId="0" fontId="30" fillId="0" borderId="67" xfId="355" applyFont="1" applyFill="1" applyBorder="1" applyAlignment="1">
      <alignment horizontal="center" vertical="center" wrapText="1"/>
    </xf>
    <xf numFmtId="2" fontId="29" fillId="0" borderId="29" xfId="204" applyNumberFormat="1" applyFont="1" applyFill="1" applyBorder="1" applyAlignment="1">
      <alignment horizontal="center" vertical="center" wrapText="1"/>
    </xf>
    <xf numFmtId="2" fontId="29" fillId="0" borderId="20" xfId="204" applyNumberFormat="1" applyFont="1" applyFill="1" applyBorder="1" applyAlignment="1">
      <alignment horizontal="center" vertical="center" wrapText="1"/>
    </xf>
    <xf numFmtId="2" fontId="29" fillId="0" borderId="15" xfId="204" applyNumberFormat="1" applyFont="1" applyFill="1" applyBorder="1" applyAlignment="1">
      <alignment horizontal="center" vertical="center" wrapText="1"/>
    </xf>
    <xf numFmtId="0" fontId="30" fillId="0" borderId="17" xfId="355" applyFont="1" applyFill="1" applyBorder="1" applyAlignment="1">
      <alignment horizontal="center" vertical="center" wrapText="1"/>
    </xf>
    <xf numFmtId="0" fontId="30" fillId="0" borderId="20" xfId="355" applyFont="1" applyFill="1" applyBorder="1" applyAlignment="1">
      <alignment horizontal="center" vertical="center" wrapText="1"/>
    </xf>
    <xf numFmtId="0" fontId="30" fillId="0" borderId="15" xfId="355" applyFont="1" applyFill="1" applyBorder="1" applyAlignment="1">
      <alignment horizontal="center" vertical="center" wrapText="1"/>
    </xf>
    <xf numFmtId="0" fontId="30" fillId="0" borderId="17" xfId="355" applyFont="1" applyFill="1" applyBorder="1" applyAlignment="1">
      <alignment horizontal="center" wrapText="1"/>
    </xf>
    <xf numFmtId="0" fontId="30" fillId="0" borderId="21" xfId="355" applyFont="1" applyFill="1" applyBorder="1" applyAlignment="1">
      <alignment horizontal="center" vertical="center" wrapText="1"/>
    </xf>
    <xf numFmtId="0" fontId="30" fillId="0" borderId="22" xfId="355" applyFont="1" applyFill="1" applyBorder="1" applyAlignment="1">
      <alignment horizontal="center" vertical="center" wrapText="1"/>
    </xf>
    <xf numFmtId="2" fontId="29" fillId="0" borderId="17" xfId="184" applyNumberFormat="1" applyFont="1" applyFill="1" applyBorder="1" applyAlignment="1">
      <alignment horizontal="center" vertical="center" wrapText="1"/>
    </xf>
    <xf numFmtId="2" fontId="29" fillId="0" borderId="20" xfId="184" applyNumberFormat="1" applyFont="1" applyFill="1" applyBorder="1" applyAlignment="1">
      <alignment horizontal="center" vertical="center" wrapText="1"/>
    </xf>
    <xf numFmtId="2" fontId="29" fillId="0" borderId="15" xfId="184" applyNumberFormat="1" applyFont="1" applyFill="1" applyBorder="1" applyAlignment="1">
      <alignment horizontal="center" vertical="center" wrapText="1"/>
    </xf>
    <xf numFmtId="0" fontId="33" fillId="47" borderId="17" xfId="355" applyFont="1" applyFill="1" applyBorder="1" applyAlignment="1">
      <alignment horizontal="center" vertical="center" wrapText="1"/>
    </xf>
    <xf numFmtId="0" fontId="33" fillId="47" borderId="15" xfId="355" applyFont="1" applyFill="1" applyBorder="1" applyAlignment="1">
      <alignment horizontal="center" vertical="center" wrapText="1"/>
    </xf>
    <xf numFmtId="0" fontId="33" fillId="47" borderId="18" xfId="355" applyFont="1" applyFill="1" applyBorder="1" applyAlignment="1">
      <alignment horizontal="center" wrapText="1"/>
    </xf>
    <xf numFmtId="0" fontId="33" fillId="47" borderId="21" xfId="355" applyFont="1" applyFill="1" applyBorder="1" applyAlignment="1">
      <alignment horizontal="center" vertical="center" wrapText="1"/>
    </xf>
    <xf numFmtId="0" fontId="33" fillId="47" borderId="22" xfId="355" applyFont="1" applyFill="1" applyBorder="1" applyAlignment="1">
      <alignment horizontal="center" vertical="center" wrapText="1"/>
    </xf>
    <xf numFmtId="0" fontId="33" fillId="47" borderId="25" xfId="355" applyFont="1" applyFill="1" applyBorder="1" applyAlignment="1">
      <alignment horizontal="center" vertical="center" wrapText="1"/>
    </xf>
    <xf numFmtId="0" fontId="33" fillId="47" borderId="38" xfId="355" applyFont="1" applyFill="1" applyBorder="1" applyAlignment="1">
      <alignment horizontal="center" vertical="center" wrapText="1"/>
    </xf>
    <xf numFmtId="0" fontId="30" fillId="0" borderId="29" xfId="355" applyFont="1" applyFill="1" applyBorder="1" applyAlignment="1">
      <alignment horizontal="center" vertical="center" wrapText="1"/>
    </xf>
    <xf numFmtId="3" fontId="34" fillId="0" borderId="77" xfId="355" applyNumberFormat="1" applyFont="1" applyFill="1" applyBorder="1" applyAlignment="1">
      <alignment horizontal="center" vertical="center" wrapText="1"/>
    </xf>
    <xf numFmtId="3" fontId="34" fillId="0" borderId="31" xfId="355" applyNumberFormat="1" applyFont="1" applyFill="1" applyBorder="1" applyAlignment="1">
      <alignment horizontal="center" vertical="center" wrapText="1"/>
    </xf>
    <xf numFmtId="0" fontId="30" fillId="0" borderId="76" xfId="355" applyFont="1" applyFill="1" applyBorder="1" applyAlignment="1">
      <alignment horizontal="center" vertical="center" wrapText="1"/>
    </xf>
    <xf numFmtId="0" fontId="30" fillId="0" borderId="77" xfId="355" applyFont="1" applyFill="1" applyBorder="1" applyAlignment="1">
      <alignment horizontal="center" vertical="center" wrapText="1"/>
    </xf>
    <xf numFmtId="49" fontId="30" fillId="0" borderId="28" xfId="355" applyNumberFormat="1" applyFont="1" applyFill="1" applyBorder="1" applyAlignment="1">
      <alignment horizontal="center" vertical="center" wrapText="1"/>
    </xf>
    <xf numFmtId="49" fontId="30" fillId="0" borderId="18" xfId="355" applyNumberFormat="1" applyFont="1" applyFill="1" applyBorder="1" applyAlignment="1">
      <alignment horizontal="center" vertical="center" wrapText="1"/>
    </xf>
    <xf numFmtId="49" fontId="30" fillId="0" borderId="31" xfId="355" applyNumberFormat="1" applyFont="1" applyFill="1" applyBorder="1" applyAlignment="1">
      <alignment horizontal="center" vertical="center" wrapText="1"/>
    </xf>
    <xf numFmtId="0" fontId="30" fillId="0" borderId="19" xfId="355" applyFont="1" applyFill="1" applyBorder="1" applyAlignment="1">
      <alignment horizontal="center" vertical="center" wrapText="1"/>
    </xf>
    <xf numFmtId="3" fontId="34" fillId="0" borderId="29" xfId="355" applyNumberFormat="1" applyFont="1" applyFill="1" applyBorder="1" applyAlignment="1">
      <alignment horizontal="center" vertical="center" wrapText="1"/>
    </xf>
    <xf numFmtId="2" fontId="29" fillId="0" borderId="29" xfId="184" applyNumberFormat="1" applyFont="1" applyFill="1" applyBorder="1" applyAlignment="1">
      <alignment horizontal="center" vertical="center" wrapText="1"/>
    </xf>
    <xf numFmtId="49" fontId="30" fillId="0" borderId="21" xfId="355" applyNumberFormat="1" applyFont="1" applyFill="1" applyBorder="1" applyAlignment="1">
      <alignment horizontal="center" vertical="center" wrapText="1"/>
    </xf>
    <xf numFmtId="49" fontId="30" fillId="0" borderId="19" xfId="355" applyNumberFormat="1" applyFont="1" applyFill="1" applyBorder="1" applyAlignment="1">
      <alignment horizontal="center" vertical="center" wrapText="1"/>
    </xf>
    <xf numFmtId="49" fontId="30" fillId="0" borderId="22" xfId="355" applyNumberFormat="1" applyFont="1" applyFill="1" applyBorder="1" applyAlignment="1">
      <alignment horizontal="center" vertical="center" wrapText="1"/>
    </xf>
    <xf numFmtId="49" fontId="30" fillId="0" borderId="25" xfId="355" applyNumberFormat="1" applyFont="1" applyFill="1" applyBorder="1" applyAlignment="1">
      <alignment horizontal="center" vertical="center" wrapText="1"/>
    </xf>
    <xf numFmtId="49" fontId="30" fillId="0" borderId="16" xfId="355" applyNumberFormat="1" applyFont="1" applyFill="1" applyBorder="1" applyAlignment="1">
      <alignment horizontal="center" vertical="center" wrapText="1"/>
    </xf>
    <xf numFmtId="49" fontId="30" fillId="0" borderId="38" xfId="355" applyNumberFormat="1" applyFont="1" applyFill="1" applyBorder="1" applyAlignment="1">
      <alignment horizontal="center" vertical="center" wrapText="1"/>
    </xf>
    <xf numFmtId="0" fontId="30" fillId="0" borderId="59" xfId="355" applyFont="1" applyFill="1" applyBorder="1" applyAlignment="1">
      <alignment horizontal="center" wrapText="1"/>
    </xf>
    <xf numFmtId="0" fontId="30" fillId="0" borderId="23" xfId="355" applyFont="1" applyFill="1" applyBorder="1" applyAlignment="1">
      <alignment horizontal="center" wrapText="1"/>
    </xf>
    <xf numFmtId="0" fontId="30" fillId="0" borderId="25" xfId="355" applyFont="1" applyFill="1" applyBorder="1" applyAlignment="1">
      <alignment horizontal="center" wrapText="1"/>
    </xf>
    <xf numFmtId="4" fontId="30" fillId="0" borderId="66" xfId="355" applyNumberFormat="1" applyFont="1" applyFill="1" applyBorder="1" applyAlignment="1">
      <alignment horizontal="center" vertical="center" wrapText="1"/>
    </xf>
    <xf numFmtId="4" fontId="30" fillId="0" borderId="67" xfId="355" applyNumberFormat="1" applyFont="1" applyFill="1" applyBorder="1" applyAlignment="1">
      <alignment horizontal="center" vertical="center" wrapText="1"/>
    </xf>
    <xf numFmtId="0" fontId="36" fillId="0" borderId="16" xfId="355" applyFont="1" applyBorder="1" applyAlignment="1">
      <alignment horizontal="center"/>
    </xf>
    <xf numFmtId="0" fontId="34" fillId="0" borderId="29" xfId="355" applyFont="1" applyBorder="1" applyAlignment="1">
      <alignment horizontal="center" vertical="center" wrapText="1"/>
    </xf>
    <xf numFmtId="0" fontId="34" fillId="0" borderId="27" xfId="355" applyFont="1" applyBorder="1" applyAlignment="1">
      <alignment horizontal="center" vertical="center" wrapText="1"/>
    </xf>
    <xf numFmtId="0" fontId="30" fillId="0" borderId="27" xfId="355" applyFont="1" applyFill="1" applyBorder="1" applyAlignment="1">
      <alignment horizontal="center" wrapText="1"/>
    </xf>
    <xf numFmtId="0" fontId="30" fillId="0" borderId="54" xfId="355" applyFont="1" applyFill="1" applyBorder="1" applyAlignment="1">
      <alignment horizontal="center" vertical="center" wrapText="1"/>
    </xf>
    <xf numFmtId="0" fontId="30" fillId="0" borderId="56" xfId="355" applyFont="1" applyFill="1" applyBorder="1" applyAlignment="1">
      <alignment horizontal="center" vertical="center" wrapText="1"/>
    </xf>
    <xf numFmtId="0" fontId="30" fillId="0" borderId="55" xfId="355" applyFont="1" applyFill="1" applyBorder="1" applyAlignment="1">
      <alignment horizontal="center" vertical="center" wrapText="1"/>
    </xf>
    <xf numFmtId="0" fontId="34" fillId="0" borderId="37" xfId="355" applyFont="1" applyBorder="1" applyAlignment="1">
      <alignment horizontal="center" vertical="center" wrapText="1"/>
    </xf>
    <xf numFmtId="0" fontId="34" fillId="0" borderId="57" xfId="355" applyFont="1" applyBorder="1" applyAlignment="1">
      <alignment horizontal="center" vertical="center" wrapText="1"/>
    </xf>
    <xf numFmtId="0" fontId="34" fillId="0" borderId="32" xfId="355" applyFont="1" applyBorder="1" applyAlignment="1">
      <alignment horizontal="center" vertical="center" wrapText="1"/>
    </xf>
    <xf numFmtId="0" fontId="34" fillId="0" borderId="80" xfId="355" applyFont="1" applyBorder="1" applyAlignment="1">
      <alignment horizontal="center" vertical="center" wrapText="1"/>
    </xf>
    <xf numFmtId="0" fontId="34" fillId="0" borderId="81" xfId="355" applyFont="1" applyBorder="1" applyAlignment="1">
      <alignment horizontal="center" vertical="center" wrapText="1"/>
    </xf>
    <xf numFmtId="0" fontId="34" fillId="0" borderId="82" xfId="355" applyFont="1" applyBorder="1" applyAlignment="1">
      <alignment horizontal="center" vertical="center" wrapText="1"/>
    </xf>
    <xf numFmtId="0" fontId="34" fillId="0" borderId="33" xfId="355" applyFont="1" applyBorder="1" applyAlignment="1">
      <alignment horizontal="center" vertical="center" wrapText="1"/>
    </xf>
    <xf numFmtId="0" fontId="34" fillId="0" borderId="40" xfId="355" applyFont="1" applyBorder="1" applyAlignment="1">
      <alignment horizontal="center" vertical="center" wrapText="1"/>
    </xf>
    <xf numFmtId="0" fontId="34" fillId="0" borderId="34" xfId="355" applyFont="1" applyBorder="1" applyAlignment="1">
      <alignment horizontal="center" vertical="center" wrapText="1"/>
    </xf>
    <xf numFmtId="0" fontId="34" fillId="0" borderId="66" xfId="355" applyFont="1" applyBorder="1" applyAlignment="1">
      <alignment horizontal="center" vertical="center" wrapText="1"/>
    </xf>
    <xf numFmtId="0" fontId="34" fillId="0" borderId="68" xfId="355" applyFont="1" applyBorder="1" applyAlignment="1">
      <alignment horizontal="center" vertical="center" wrapText="1"/>
    </xf>
    <xf numFmtId="0" fontId="34" fillId="0" borderId="67" xfId="355" applyFont="1" applyBorder="1" applyAlignment="1">
      <alignment horizontal="center" vertical="center" wrapText="1"/>
    </xf>
    <xf numFmtId="0" fontId="34" fillId="0" borderId="29" xfId="355" applyFont="1" applyFill="1" applyBorder="1" applyAlignment="1">
      <alignment horizontal="center" vertical="center" wrapText="1"/>
    </xf>
    <xf numFmtId="0" fontId="34" fillId="0" borderId="20" xfId="355" applyFont="1" applyFill="1" applyBorder="1" applyAlignment="1">
      <alignment horizontal="center" vertical="center" wrapText="1"/>
    </xf>
    <xf numFmtId="0" fontId="34" fillId="0" borderId="27" xfId="355" applyFont="1" applyFill="1" applyBorder="1" applyAlignment="1">
      <alignment horizontal="center" vertical="center" wrapText="1"/>
    </xf>
    <xf numFmtId="0" fontId="85" fillId="51" borderId="23" xfId="355" applyFont="1" applyFill="1" applyBorder="1" applyAlignment="1">
      <alignment vertical="center"/>
    </xf>
    <xf numFmtId="0" fontId="30" fillId="0" borderId="68" xfId="355" applyFont="1" applyFill="1" applyBorder="1" applyAlignment="1">
      <alignment horizontal="center" vertical="center" wrapText="1"/>
    </xf>
    <xf numFmtId="0" fontId="30" fillId="0" borderId="37" xfId="355" applyFont="1" applyFill="1" applyBorder="1" applyAlignment="1">
      <alignment horizontal="center" vertical="center" wrapText="1"/>
    </xf>
    <xf numFmtId="0" fontId="30" fillId="0" borderId="32" xfId="355" applyFont="1" applyFill="1" applyBorder="1" applyAlignment="1">
      <alignment horizontal="center" vertical="center" wrapText="1"/>
    </xf>
    <xf numFmtId="49" fontId="30" fillId="0" borderId="37" xfId="355" applyNumberFormat="1" applyFont="1" applyFill="1" applyBorder="1" applyAlignment="1">
      <alignment horizontal="center" vertical="center" wrapText="1"/>
    </xf>
    <xf numFmtId="49" fontId="30" fillId="0" borderId="32" xfId="355" applyNumberFormat="1" applyFont="1" applyFill="1" applyBorder="1" applyAlignment="1">
      <alignment horizontal="center" vertical="center" wrapText="1"/>
    </xf>
    <xf numFmtId="49" fontId="30" fillId="0" borderId="33" xfId="355" applyNumberFormat="1" applyFont="1" applyFill="1" applyBorder="1" applyAlignment="1">
      <alignment horizontal="center" vertical="center" wrapText="1"/>
    </xf>
    <xf numFmtId="49" fontId="30" fillId="0" borderId="34" xfId="355" applyNumberFormat="1" applyFont="1" applyFill="1" applyBorder="1" applyAlignment="1">
      <alignment horizontal="center" vertical="center" wrapText="1"/>
    </xf>
    <xf numFmtId="49" fontId="30" fillId="0" borderId="80" xfId="355" applyNumberFormat="1" applyFont="1" applyFill="1" applyBorder="1" applyAlignment="1">
      <alignment horizontal="center" vertical="center" wrapText="1"/>
    </xf>
    <xf numFmtId="49" fontId="30" fillId="0" borderId="82" xfId="355" applyNumberFormat="1" applyFont="1" applyFill="1" applyBorder="1" applyAlignment="1">
      <alignment horizontal="center" vertical="center" wrapText="1"/>
    </xf>
    <xf numFmtId="3" fontId="34" fillId="0" borderId="27" xfId="355" applyNumberFormat="1" applyFont="1" applyFill="1" applyBorder="1" applyAlignment="1">
      <alignment horizontal="center" vertical="center" wrapText="1"/>
    </xf>
    <xf numFmtId="49" fontId="30" fillId="0" borderId="66" xfId="355" applyNumberFormat="1" applyFont="1" applyFill="1" applyBorder="1" applyAlignment="1">
      <alignment horizontal="center" vertical="center" wrapText="1"/>
    </xf>
    <xf numFmtId="49" fontId="30" fillId="0" borderId="67" xfId="355" applyNumberFormat="1" applyFont="1" applyFill="1" applyBorder="1" applyAlignment="1">
      <alignment horizontal="center" vertical="center" wrapText="1"/>
    </xf>
    <xf numFmtId="0" fontId="118" fillId="0" borderId="0" xfId="0" applyFont="1"/>
    <xf numFmtId="0" fontId="119" fillId="0" borderId="0" xfId="0" applyFont="1"/>
  </cellXfs>
  <cellStyles count="412">
    <cellStyle name=" 1" xfId="1"/>
    <cellStyle name="_~1613671" xfId="2"/>
    <cellStyle name="_~1613671 2" xfId="3"/>
    <cellStyle name="_~1613671 3" xfId="4"/>
    <cellStyle name="_~1613671 4" xfId="5"/>
    <cellStyle name="_~7644457" xfId="6"/>
    <cellStyle name="_~7644457 2" xfId="7"/>
    <cellStyle name="_~7644457 3" xfId="8"/>
    <cellStyle name="_~7644457 4" xfId="9"/>
    <cellStyle name="_price_der_nov_раб" xfId="10"/>
    <cellStyle name="_price_der_nov_раб_~2260219" xfId="11"/>
    <cellStyle name="_price_der_nov_раб_~2260219 2" xfId="12"/>
    <cellStyle name="_price_der_nov_раб_~2260219_~2131575" xfId="13"/>
    <cellStyle name="_price_der_nov_раб_~2260219_Decra" xfId="14"/>
    <cellStyle name="_price_der_nov_раб_~2260219_Vilpe" xfId="15"/>
    <cellStyle name="_price_der_nov_раб_~2260219_Дилерский прайс-лист 03.03.14 Единый+Q35" xfId="16"/>
    <cellStyle name="_price_der_nov_раб_~2260219_Макет временных" xfId="17"/>
    <cellStyle name="_price_der_nov_раб_~2260219_Прайс полный ассортимент Центр от 09.07" xfId="18"/>
    <cellStyle name="_price_der_nov_раб_~2260219_Розничный прайс-лист 03.03.14" xfId="19"/>
    <cellStyle name="_price_der_nov_раб_~2260219_Розничный прайс-лист 07.04.14" xfId="20"/>
    <cellStyle name="_price_der_nov_раб_~2260219_Цокольные панели Ванштайн" xfId="21"/>
    <cellStyle name="_price_der_nov_раб_~2260219_Цокольные панели Ванштайн 2" xfId="22"/>
    <cellStyle name="_price_der_nov_раб_~6447645" xfId="23"/>
    <cellStyle name="_price_der_nov_раб_GL розничный прайс Краснодар - 03.09.12" xfId="24"/>
    <cellStyle name="_price_der_nov_раб_дилерский прайс - лист 17.02.12 ПИТЕР" xfId="25"/>
    <cellStyle name="_price_der_nov_раб_дилерский прайс - лист 18.04.12" xfId="26"/>
    <cellStyle name="_price_der_nov_раб_Прайс для Краснодара 2" xfId="27"/>
    <cellStyle name="_price_der_nov_раб_Прайс полный ассортимент 22.12.2010  Центр" xfId="28"/>
    <cellStyle name="_price_der_nov_раб_Прайс полный ассортимент от 06.02.12 Одинцово" xfId="29"/>
    <cellStyle name="_price_der_nov_раб_Прайс полный ассортимент от 06.02.12 Центр" xfId="30"/>
    <cellStyle name="_price_der_nov_раб_Прайс полный ассортимент от 19.10.2011 Центр" xfId="31"/>
    <cellStyle name="_price_der_nov_раб_Прайс полный ассортимент СПБ  от 22.08.12 Ворота + фигурный профнастил" xfId="32"/>
    <cellStyle name="_price_der_nov_раб_Прайс полный ассортимент Центр от 01.06.12" xfId="33"/>
    <cellStyle name="_price_der_nov_раб_Прайс полный ассортимент Центр от 06.08.12" xfId="34"/>
    <cellStyle name="_price_der_nov_раб_Прайс полный ассортимент Центр от 22.08.12 Ворота + фигурный профнастил" xfId="35"/>
    <cellStyle name="_price_der_nov_раб_Прайс полный ассортимент Центр от 29.06.12" xfId="36"/>
    <cellStyle name="_Книга2" xfId="37"/>
    <cellStyle name="_Книга2 2" xfId="38"/>
    <cellStyle name="_Книга2 3" xfId="39"/>
    <cellStyle name="_Книга2 4" xfId="40"/>
    <cellStyle name="_лестницы" xfId="41"/>
    <cellStyle name="_лестницы 2" xfId="42"/>
    <cellStyle name="_лестницы 3" xfId="43"/>
    <cellStyle name="_лестницы 4" xfId="44"/>
    <cellStyle name="_прайс-лист розница" xfId="45"/>
    <cellStyle name="_прайс-лист розница 2" xfId="46"/>
    <cellStyle name="_прайс-лист розница 3" xfId="47"/>
    <cellStyle name="_прайс-лист розница 4" xfId="48"/>
    <cellStyle name="-15-1976" xfId="49"/>
    <cellStyle name="-15-1976 2" xfId="50"/>
    <cellStyle name="-15-1976 3" xfId="51"/>
    <cellStyle name="-15-1976 4" xfId="52"/>
    <cellStyle name="20% - Акцент1" xfId="53" builtinId="30" customBuiltin="1"/>
    <cellStyle name="20% - Акцент1 2" xfId="54"/>
    <cellStyle name="20% - Акцент1 2 2" xfId="55"/>
    <cellStyle name="20% - Акцент1 2 3" xfId="56"/>
    <cellStyle name="20% - Акцент1 2 4" xfId="57"/>
    <cellStyle name="20% - Акцент1 3" xfId="58"/>
    <cellStyle name="20% - Акцент2" xfId="59" builtinId="34" customBuiltin="1"/>
    <cellStyle name="20% - Акцент2 2" xfId="60"/>
    <cellStyle name="20% - Акцент2 2 2" xfId="61"/>
    <cellStyle name="20% - Акцент2 2 3" xfId="62"/>
    <cellStyle name="20% - Акцент2 2 4" xfId="63"/>
    <cellStyle name="20% - Акцент2 3" xfId="64"/>
    <cellStyle name="20% - Акцент3" xfId="65" builtinId="38" customBuiltin="1"/>
    <cellStyle name="20% - Акцент3 2" xfId="66"/>
    <cellStyle name="20% - Акцент3 2 2" xfId="67"/>
    <cellStyle name="20% - Акцент3 2 3" xfId="68"/>
    <cellStyle name="20% - Акцент3 2 4" xfId="69"/>
    <cellStyle name="20% - Акцент3 3" xfId="70"/>
    <cellStyle name="20% - Акцент4" xfId="71" builtinId="42" customBuiltin="1"/>
    <cellStyle name="20% - Акцент4 2" xfId="72"/>
    <cellStyle name="20% - Акцент4 2 2" xfId="73"/>
    <cellStyle name="20% - Акцент4 2 3" xfId="74"/>
    <cellStyle name="20% - Акцент4 2 4" xfId="75"/>
    <cellStyle name="20% - Акцент4 3" xfId="76"/>
    <cellStyle name="20% - Акцент5" xfId="77" builtinId="46" customBuiltin="1"/>
    <cellStyle name="20% - Акцент5 2" xfId="78"/>
    <cellStyle name="20% - Акцент5 2 2" xfId="79"/>
    <cellStyle name="20% - Акцент5 2 3" xfId="80"/>
    <cellStyle name="20% - Акцент5 2 4" xfId="81"/>
    <cellStyle name="20% - Акцент5 3" xfId="82"/>
    <cellStyle name="20% - Акцент6" xfId="83" builtinId="50" customBuiltin="1"/>
    <cellStyle name="20% - Акцент6 2" xfId="84"/>
    <cellStyle name="20% - Акцент6 2 2" xfId="85"/>
    <cellStyle name="20% - Акцент6 2 3" xfId="86"/>
    <cellStyle name="20% - Акцент6 2 4" xfId="87"/>
    <cellStyle name="20% - Акцент6 3" xfId="88"/>
    <cellStyle name="40% - Акцент1" xfId="89" builtinId="31" customBuiltin="1"/>
    <cellStyle name="40% - Акцент1 2" xfId="90"/>
    <cellStyle name="40% - Акцент1 2 2" xfId="91"/>
    <cellStyle name="40% - Акцент1 2 3" xfId="92"/>
    <cellStyle name="40% - Акцент1 2 4" xfId="93"/>
    <cellStyle name="40% - Акцент1 3" xfId="94"/>
    <cellStyle name="40% - Акцент2" xfId="95" builtinId="35" customBuiltin="1"/>
    <cellStyle name="40% - Акцент2 2" xfId="96"/>
    <cellStyle name="40% - Акцент2 2 2" xfId="97"/>
    <cellStyle name="40% - Акцент2 2 3" xfId="98"/>
    <cellStyle name="40% - Акцент2 2 4" xfId="99"/>
    <cellStyle name="40% - Акцент2 3" xfId="100"/>
    <cellStyle name="40% - Акцент3" xfId="101" builtinId="39" customBuiltin="1"/>
    <cellStyle name="40% - Акцент3 2" xfId="102"/>
    <cellStyle name="40% - Акцент3 2 2" xfId="103"/>
    <cellStyle name="40% - Акцент3 2 3" xfId="104"/>
    <cellStyle name="40% - Акцент3 2 4" xfId="105"/>
    <cellStyle name="40% - Акцент3 3" xfId="106"/>
    <cellStyle name="40% - Акцент4" xfId="107" builtinId="43" customBuiltin="1"/>
    <cellStyle name="40% - Акцент4 2" xfId="108"/>
    <cellStyle name="40% - Акцент4 2 2" xfId="109"/>
    <cellStyle name="40% - Акцент4 2 3" xfId="110"/>
    <cellStyle name="40% - Акцент4 2 4" xfId="111"/>
    <cellStyle name="40% - Акцент4 3" xfId="112"/>
    <cellStyle name="40% - Акцент5" xfId="113" builtinId="47" customBuiltin="1"/>
    <cellStyle name="40% - Акцент5 2" xfId="114"/>
    <cellStyle name="40% - Акцент5 2 2" xfId="115"/>
    <cellStyle name="40% - Акцент5 2 3" xfId="116"/>
    <cellStyle name="40% - Акцент5 2 4" xfId="117"/>
    <cellStyle name="40% - Акцент5 3" xfId="118"/>
    <cellStyle name="40% - Акцент6" xfId="119" builtinId="51" customBuiltin="1"/>
    <cellStyle name="40% - Акцент6 2" xfId="120"/>
    <cellStyle name="40% - Акцент6 2 2" xfId="121"/>
    <cellStyle name="40% - Акцент6 2 3" xfId="122"/>
    <cellStyle name="40% - Акцент6 2 4" xfId="123"/>
    <cellStyle name="40% - Акцент6 3" xfId="124"/>
    <cellStyle name="60% - Акцент1" xfId="125" builtinId="32" customBuiltin="1"/>
    <cellStyle name="60% - Акцент1 2" xfId="126"/>
    <cellStyle name="60% - Акцент1 2 2" xfId="127"/>
    <cellStyle name="60% - Акцент1 2 3" xfId="128"/>
    <cellStyle name="60% - Акцент1 2 4" xfId="129"/>
    <cellStyle name="60% - Акцент1 3" xfId="130"/>
    <cellStyle name="60% - Акцент2" xfId="131" builtinId="36" customBuiltin="1"/>
    <cellStyle name="60% - Акцент2 2" xfId="132"/>
    <cellStyle name="60% - Акцент2 2 2" xfId="133"/>
    <cellStyle name="60% - Акцент2 2 3" xfId="134"/>
    <cellStyle name="60% - Акцент2 2 4" xfId="135"/>
    <cellStyle name="60% - Акцент2 3" xfId="136"/>
    <cellStyle name="60% - Акцент3" xfId="137" builtinId="40" customBuiltin="1"/>
    <cellStyle name="60% - Акцент3 2" xfId="138"/>
    <cellStyle name="60% - Акцент3 2 2" xfId="139"/>
    <cellStyle name="60% - Акцент3 2 3" xfId="140"/>
    <cellStyle name="60% - Акцент3 2 4" xfId="141"/>
    <cellStyle name="60% - Акцент3 3" xfId="142"/>
    <cellStyle name="60% - Акцент4" xfId="143" builtinId="44" customBuiltin="1"/>
    <cellStyle name="60% - Акцент4 2" xfId="144"/>
    <cellStyle name="60% - Акцент4 2 2" xfId="145"/>
    <cellStyle name="60% - Акцент4 2 3" xfId="146"/>
    <cellStyle name="60% - Акцент4 2 4" xfId="147"/>
    <cellStyle name="60% - Акцент4 3" xfId="148"/>
    <cellStyle name="60% - Акцент5" xfId="149" builtinId="48" customBuiltin="1"/>
    <cellStyle name="60% - Акцент5 2" xfId="150"/>
    <cellStyle name="60% - Акцент5 2 2" xfId="151"/>
    <cellStyle name="60% - Акцент5 2 3" xfId="152"/>
    <cellStyle name="60% - Акцент5 2 4" xfId="153"/>
    <cellStyle name="60% - Акцент5 3" xfId="154"/>
    <cellStyle name="60% - Акцент6" xfId="155" builtinId="52" customBuiltin="1"/>
    <cellStyle name="60% - Акцент6 2" xfId="156"/>
    <cellStyle name="60% - Акцент6 2 2" xfId="157"/>
    <cellStyle name="60% - Акцент6 2 3" xfId="158"/>
    <cellStyle name="60% - Акцент6 2 4" xfId="159"/>
    <cellStyle name="60% - Акцент6 3" xfId="160"/>
    <cellStyle name="Euro" xfId="161"/>
    <cellStyle name="Euro 2" xfId="162"/>
    <cellStyle name="Euro 3" xfId="163"/>
    <cellStyle name="Euro 4" xfId="164"/>
    <cellStyle name="Excel Built-in Normal" xfId="165"/>
    <cellStyle name="Normal 2" xfId="166"/>
    <cellStyle name="Normal_Sheet1" xfId="167"/>
    <cellStyle name="Standaard 10" xfId="168"/>
    <cellStyle name="Standaard 10 2" xfId="169"/>
    <cellStyle name="Standaard 10 3" xfId="170"/>
    <cellStyle name="Standaard 10 4" xfId="171"/>
    <cellStyle name="Standaard 11" xfId="172"/>
    <cellStyle name="Standaard 11 2" xfId="173"/>
    <cellStyle name="Standaard 11 3" xfId="174"/>
    <cellStyle name="Standaard 11 4" xfId="175"/>
    <cellStyle name="Standaard 12" xfId="176"/>
    <cellStyle name="Standaard 12 2" xfId="177"/>
    <cellStyle name="Standaard 12 3" xfId="178"/>
    <cellStyle name="Standaard 12 4" xfId="179"/>
    <cellStyle name="Standaard 2" xfId="180"/>
    <cellStyle name="Standaard 2 2" xfId="181"/>
    <cellStyle name="Standaard 2 3" xfId="182"/>
    <cellStyle name="Standaard 2 4" xfId="183"/>
    <cellStyle name="Standaard 3" xfId="184"/>
    <cellStyle name="Standaard 3 2" xfId="185"/>
    <cellStyle name="Standaard 3 3" xfId="186"/>
    <cellStyle name="Standaard 3 4" xfId="187"/>
    <cellStyle name="Standaard 4" xfId="188"/>
    <cellStyle name="Standaard 4 2" xfId="189"/>
    <cellStyle name="Standaard 4 3" xfId="190"/>
    <cellStyle name="Standaard 4 4" xfId="191"/>
    <cellStyle name="Standaard 5" xfId="192"/>
    <cellStyle name="Standaard 5 2" xfId="193"/>
    <cellStyle name="Standaard 5 3" xfId="194"/>
    <cellStyle name="Standaard 5 4" xfId="195"/>
    <cellStyle name="Standaard 6" xfId="196"/>
    <cellStyle name="Standaard 6 2" xfId="197"/>
    <cellStyle name="Standaard 6 3" xfId="198"/>
    <cellStyle name="Standaard 6 4" xfId="199"/>
    <cellStyle name="Standaard 7" xfId="200"/>
    <cellStyle name="Standaard 7 2" xfId="201"/>
    <cellStyle name="Standaard 7 3" xfId="202"/>
    <cellStyle name="Standaard 7 4" xfId="203"/>
    <cellStyle name="Standaard 8" xfId="204"/>
    <cellStyle name="Standaard 8 2" xfId="205"/>
    <cellStyle name="Standaard 8 3" xfId="206"/>
    <cellStyle name="Standaard 8 4" xfId="207"/>
    <cellStyle name="Standaard 9" xfId="208"/>
    <cellStyle name="Standaard 9 2" xfId="209"/>
    <cellStyle name="Standaard 9 3" xfId="210"/>
    <cellStyle name="Standaard 9 4" xfId="211"/>
    <cellStyle name="Акцент1" xfId="212" builtinId="29" customBuiltin="1"/>
    <cellStyle name="Акцент1 2" xfId="213"/>
    <cellStyle name="Акцент1 2 2" xfId="214"/>
    <cellStyle name="Акцент1 2 3" xfId="215"/>
    <cellStyle name="Акцент1 2 4" xfId="216"/>
    <cellStyle name="Акцент1 3" xfId="217"/>
    <cellStyle name="Акцент2" xfId="218" builtinId="33" customBuiltin="1"/>
    <cellStyle name="Акцент2 2" xfId="219"/>
    <cellStyle name="Акцент2 2 2" xfId="220"/>
    <cellStyle name="Акцент2 2 3" xfId="221"/>
    <cellStyle name="Акцент2 2 4" xfId="222"/>
    <cellStyle name="Акцент2 3" xfId="223"/>
    <cellStyle name="Акцент3" xfId="224" builtinId="37" customBuiltin="1"/>
    <cellStyle name="Акцент3 2" xfId="225"/>
    <cellStyle name="Акцент3 2 2" xfId="226"/>
    <cellStyle name="Акцент3 2 3" xfId="227"/>
    <cellStyle name="Акцент3 2 4" xfId="228"/>
    <cellStyle name="Акцент3 3" xfId="229"/>
    <cellStyle name="Акцент4" xfId="230" builtinId="41" customBuiltin="1"/>
    <cellStyle name="Акцент4 2" xfId="231"/>
    <cellStyle name="Акцент4 2 2" xfId="232"/>
    <cellStyle name="Акцент4 2 3" xfId="233"/>
    <cellStyle name="Акцент4 2 4" xfId="234"/>
    <cellStyle name="Акцент4 3" xfId="235"/>
    <cellStyle name="Акцент5" xfId="236" builtinId="45" customBuiltin="1"/>
    <cellStyle name="Акцент5 2" xfId="237"/>
    <cellStyle name="Акцент5 2 2" xfId="238"/>
    <cellStyle name="Акцент5 2 3" xfId="239"/>
    <cellStyle name="Акцент5 2 4" xfId="240"/>
    <cellStyle name="Акцент5 3" xfId="241"/>
    <cellStyle name="Акцент6" xfId="242" builtinId="49" customBuiltin="1"/>
    <cellStyle name="Акцент6 2" xfId="243"/>
    <cellStyle name="Акцент6 2 2" xfId="244"/>
    <cellStyle name="Акцент6 2 3" xfId="245"/>
    <cellStyle name="Акцент6 2 4" xfId="246"/>
    <cellStyle name="Акцент6 3" xfId="247"/>
    <cellStyle name="Ввод " xfId="248" builtinId="20" customBuiltin="1"/>
    <cellStyle name="Ввод  2" xfId="249"/>
    <cellStyle name="Ввод  2 2" xfId="250"/>
    <cellStyle name="Ввод  2 3" xfId="251"/>
    <cellStyle name="Ввод  2 4" xfId="252"/>
    <cellStyle name="Ввод  3" xfId="253"/>
    <cellStyle name="Вывод" xfId="254" builtinId="21" customBuiltin="1"/>
    <cellStyle name="Вывод 2" xfId="255"/>
    <cellStyle name="Вывод 2 2" xfId="256"/>
    <cellStyle name="Вывод 2 3" xfId="257"/>
    <cellStyle name="Вывод 2 4" xfId="258"/>
    <cellStyle name="Вывод 3" xfId="259"/>
    <cellStyle name="Вычисление" xfId="260" builtinId="22" customBuiltin="1"/>
    <cellStyle name="Вычисление 2" xfId="261"/>
    <cellStyle name="Вычисление 2 2" xfId="262"/>
    <cellStyle name="Вычисление 2 3" xfId="263"/>
    <cellStyle name="Вычисление 2 4" xfId="264"/>
    <cellStyle name="Вычисление 3" xfId="265"/>
    <cellStyle name="Гиперссылка" xfId="411" builtinId="8"/>
    <cellStyle name="Гиперссылка 2" xfId="266"/>
    <cellStyle name="Гиперссылка 3" xfId="267"/>
    <cellStyle name="Денежный 2" xfId="268"/>
    <cellStyle name="Заголовок 1" xfId="269" builtinId="16" customBuiltin="1"/>
    <cellStyle name="Заголовок 1 2" xfId="270"/>
    <cellStyle name="Заголовок 1 3" xfId="271"/>
    <cellStyle name="Заголовок 2" xfId="272" builtinId="17" customBuiltin="1"/>
    <cellStyle name="Заголовок 2 2" xfId="273"/>
    <cellStyle name="Заголовок 2 3" xfId="274"/>
    <cellStyle name="Заголовок 3" xfId="275" builtinId="18" customBuiltin="1"/>
    <cellStyle name="Заголовок 3 2" xfId="276"/>
    <cellStyle name="Заголовок 3 3" xfId="277"/>
    <cellStyle name="Заголовок 4" xfId="278" builtinId="19" customBuiltin="1"/>
    <cellStyle name="Заголовок 4 2" xfId="279"/>
    <cellStyle name="Заголовок 4 3" xfId="280"/>
    <cellStyle name="Заголовок сводной таблицы" xfId="281"/>
    <cellStyle name="Итог" xfId="282" builtinId="25" customBuiltin="1"/>
    <cellStyle name="Итог 2" xfId="283"/>
    <cellStyle name="Итог 3" xfId="284"/>
    <cellStyle name="Категория сводной таблицы" xfId="285"/>
    <cellStyle name="Контрольная ячейка" xfId="286" builtinId="23" customBuiltin="1"/>
    <cellStyle name="Контрольная ячейка 2" xfId="287"/>
    <cellStyle name="Контрольная ячейка 2 2" xfId="288"/>
    <cellStyle name="Контрольная ячейка 2 3" xfId="289"/>
    <cellStyle name="Контрольная ячейка 2 4" xfId="290"/>
    <cellStyle name="Контрольная ячейка 3" xfId="291"/>
    <cellStyle name="Название" xfId="292" builtinId="15" customBuiltin="1"/>
    <cellStyle name="Название 2" xfId="293"/>
    <cellStyle name="Название 3" xfId="294"/>
    <cellStyle name="Нейтральный" xfId="295" builtinId="28" customBuiltin="1"/>
    <cellStyle name="Нейтральный 2" xfId="296"/>
    <cellStyle name="Нейтральный 2 2" xfId="297"/>
    <cellStyle name="Нейтральный 2 3" xfId="298"/>
    <cellStyle name="Нейтральный 2 4" xfId="299"/>
    <cellStyle name="Нейтральный 3" xfId="300"/>
    <cellStyle name="Обычный" xfId="0" builtinId="0"/>
    <cellStyle name="Обычный 10" xfId="301"/>
    <cellStyle name="Обычный 10 2" xfId="302"/>
    <cellStyle name="Обычный 11" xfId="303"/>
    <cellStyle name="Обычный 11 2" xfId="304"/>
    <cellStyle name="Обычный 11 3" xfId="305"/>
    <cellStyle name="Обычный 12" xfId="306"/>
    <cellStyle name="Обычный 13" xfId="307"/>
    <cellStyle name="Обычный 14" xfId="308"/>
    <cellStyle name="Обычный 14 2" xfId="309"/>
    <cellStyle name="Обычный 15" xfId="310"/>
    <cellStyle name="Обычный 16" xfId="311"/>
    <cellStyle name="Обычный 17" xfId="312"/>
    <cellStyle name="Обычный 18" xfId="313"/>
    <cellStyle name="Обычный 19" xfId="314"/>
    <cellStyle name="Обычный 2" xfId="315"/>
    <cellStyle name="Обычный 2 2" xfId="316"/>
    <cellStyle name="Обычный 2 2 2" xfId="317"/>
    <cellStyle name="Обычный 2 3" xfId="318"/>
    <cellStyle name="Обычный 2 4" xfId="319"/>
    <cellStyle name="Обычный 2_Аквасток 1" xfId="320"/>
    <cellStyle name="Обычный 20" xfId="321"/>
    <cellStyle name="Обычный 21" xfId="322"/>
    <cellStyle name="Обычный 22" xfId="323"/>
    <cellStyle name="Обычный 23" xfId="324"/>
    <cellStyle name="Обычный 24" xfId="325"/>
    <cellStyle name="Обычный 26" xfId="326"/>
    <cellStyle name="Обычный 3" xfId="327"/>
    <cellStyle name="Обычный 3 2" xfId="328"/>
    <cellStyle name="Обычный 30" xfId="329"/>
    <cellStyle name="Обычный 4" xfId="330"/>
    <cellStyle name="Обычный 4 2" xfId="331"/>
    <cellStyle name="Обычный 4 3" xfId="332"/>
    <cellStyle name="Обычный 4 4" xfId="333"/>
    <cellStyle name="Обычный 4_~2131575" xfId="334"/>
    <cellStyle name="Обычный 5" xfId="335"/>
    <cellStyle name="Обычный 6" xfId="336"/>
    <cellStyle name="Обычный 6 2" xfId="337"/>
    <cellStyle name="Обычный 6 3" xfId="338"/>
    <cellStyle name="Обычный 6 4" xfId="339"/>
    <cellStyle name="Обычный 6 5" xfId="340"/>
    <cellStyle name="Обычный 7" xfId="341"/>
    <cellStyle name="Обычный 7 2" xfId="342"/>
    <cellStyle name="Обычный 8" xfId="343"/>
    <cellStyle name="Обычный 8 2" xfId="344"/>
    <cellStyle name="Обычный 9" xfId="345"/>
    <cellStyle name="Обычный 9 10" xfId="346"/>
    <cellStyle name="Обычный 9 2" xfId="347"/>
    <cellStyle name="Обычный 9 3" xfId="348"/>
    <cellStyle name="Обычный 9 4" xfId="349"/>
    <cellStyle name="Обычный 9 5" xfId="350"/>
    <cellStyle name="Обычный 9 6" xfId="351"/>
    <cellStyle name="Обычный 9 7" xfId="352"/>
    <cellStyle name="Обычный 9 8" xfId="353"/>
    <cellStyle name="Обычный 9 9" xfId="354"/>
    <cellStyle name="Обычный_Locinox_28_03_2013" xfId="355"/>
    <cellStyle name="Обычный_Лист1_Книга2" xfId="356"/>
    <cellStyle name="Обычный_прайс дилерский _14.06.11" xfId="357"/>
    <cellStyle name="Плохой" xfId="358" builtinId="27" customBuiltin="1"/>
    <cellStyle name="Плохой 2" xfId="359"/>
    <cellStyle name="Плохой 2 2" xfId="360"/>
    <cellStyle name="Плохой 2 3" xfId="361"/>
    <cellStyle name="Плохой 2 4" xfId="362"/>
    <cellStyle name="Плохой 3" xfId="363"/>
    <cellStyle name="Пояснение" xfId="364" builtinId="53" customBuiltin="1"/>
    <cellStyle name="Пояснение 2" xfId="365"/>
    <cellStyle name="Пояснение 3" xfId="366"/>
    <cellStyle name="Примечание" xfId="367" builtinId="10" customBuiltin="1"/>
    <cellStyle name="Примечание 2" xfId="368"/>
    <cellStyle name="Примечание 2 2" xfId="369"/>
    <cellStyle name="Примечание 2 3" xfId="370"/>
    <cellStyle name="Примечание 2 4" xfId="371"/>
    <cellStyle name="Примечание 3" xfId="372"/>
    <cellStyle name="Процентный" xfId="373" builtinId="5"/>
    <cellStyle name="Процентный 2" xfId="374"/>
    <cellStyle name="Процентный 2 2" xfId="375"/>
    <cellStyle name="Процентный 2 3" xfId="376"/>
    <cellStyle name="Процентный 2 4" xfId="377"/>
    <cellStyle name="Процентный 3" xfId="378"/>
    <cellStyle name="Процентный 3 2" xfId="379"/>
    <cellStyle name="Процентный 3 3" xfId="380"/>
    <cellStyle name="Процентный 3 4" xfId="381"/>
    <cellStyle name="Процентный 4" xfId="382"/>
    <cellStyle name="Процентный 4 2" xfId="383"/>
    <cellStyle name="Процентный 4 3" xfId="384"/>
    <cellStyle name="Процентный 5" xfId="385"/>
    <cellStyle name="Процентный 6" xfId="386"/>
    <cellStyle name="Связанная ячейка" xfId="387" builtinId="24" customBuiltin="1"/>
    <cellStyle name="Связанная ячейка 2" xfId="388"/>
    <cellStyle name="Связанная ячейка 3" xfId="389"/>
    <cellStyle name="Стиль 1" xfId="390"/>
    <cellStyle name="Текст предупреждения" xfId="391" builtinId="11" customBuiltin="1"/>
    <cellStyle name="Текст предупреждения 2" xfId="392"/>
    <cellStyle name="Текст предупреждения 3" xfId="393"/>
    <cellStyle name="Финансовый" xfId="394" builtinId="3"/>
    <cellStyle name="Финансовый 2" xfId="395"/>
    <cellStyle name="Финансовый 2 2" xfId="396"/>
    <cellStyle name="Финансовый 2 3" xfId="397"/>
    <cellStyle name="Финансовый 2 4" xfId="398"/>
    <cellStyle name="Финансовый 3" xfId="399"/>
    <cellStyle name="Финансовый 3 2" xfId="400"/>
    <cellStyle name="Финансовый 3 3" xfId="401"/>
    <cellStyle name="Финансовый 4" xfId="402"/>
    <cellStyle name="Финансовый 4 2" xfId="403"/>
    <cellStyle name="Финансовый 4 3" xfId="404"/>
    <cellStyle name="Хороший" xfId="405" builtinId="26" customBuiltin="1"/>
    <cellStyle name="Хороший 2" xfId="406"/>
    <cellStyle name="Хороший 2 2" xfId="407"/>
    <cellStyle name="Хороший 2 3" xfId="408"/>
    <cellStyle name="Хороший 2 4" xfId="409"/>
    <cellStyle name="Хороший 3" xfId="410"/>
  </cellStyles>
  <dxfs count="7"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</dxfs>
  <tableStyles count="0" defaultTableStyle="TableStyleMedium9" defaultPivotStyle="PivotStyleLight16"/>
  <colors>
    <mruColors>
      <color rgb="FF808000"/>
      <color rgb="FF666633"/>
      <color rgb="FF669900"/>
      <color rgb="FF33CC33"/>
      <color rgb="FF99FF99"/>
      <color rgb="FFFF3300"/>
      <color rgb="FF46CE46"/>
      <color rgb="FFC0C0C0"/>
      <color rgb="FF969696"/>
      <color rgb="FFFF2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9.jpeg"/><Relationship Id="rId3" Type="http://schemas.openxmlformats.org/officeDocument/2006/relationships/image" Target="../media/image115.png"/><Relationship Id="rId7" Type="http://schemas.openxmlformats.org/officeDocument/2006/relationships/image" Target="../media/image118.png"/><Relationship Id="rId2" Type="http://schemas.openxmlformats.org/officeDocument/2006/relationships/image" Target="../media/image114.png"/><Relationship Id="rId1" Type="http://schemas.openxmlformats.org/officeDocument/2006/relationships/image" Target="../media/image113.png"/><Relationship Id="rId6" Type="http://schemas.openxmlformats.org/officeDocument/2006/relationships/image" Target="../media/image117.png"/><Relationship Id="rId11" Type="http://schemas.openxmlformats.org/officeDocument/2006/relationships/image" Target="../media/image122.png"/><Relationship Id="rId5" Type="http://schemas.openxmlformats.org/officeDocument/2006/relationships/image" Target="../media/image116.png"/><Relationship Id="rId10" Type="http://schemas.openxmlformats.org/officeDocument/2006/relationships/image" Target="../media/image121.png"/><Relationship Id="rId4" Type="http://schemas.openxmlformats.org/officeDocument/2006/relationships/image" Target="../media/image12.png"/><Relationship Id="rId9" Type="http://schemas.openxmlformats.org/officeDocument/2006/relationships/image" Target="../media/image1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png"/><Relationship Id="rId13" Type="http://schemas.openxmlformats.org/officeDocument/2006/relationships/image" Target="../media/image134.png"/><Relationship Id="rId18" Type="http://schemas.openxmlformats.org/officeDocument/2006/relationships/image" Target="../media/image138.jpeg"/><Relationship Id="rId26" Type="http://schemas.openxmlformats.org/officeDocument/2006/relationships/image" Target="../media/image144.png"/><Relationship Id="rId3" Type="http://schemas.openxmlformats.org/officeDocument/2006/relationships/image" Target="../media/image125.png"/><Relationship Id="rId21" Type="http://schemas.openxmlformats.org/officeDocument/2006/relationships/image" Target="../media/image140.png"/><Relationship Id="rId7" Type="http://schemas.openxmlformats.org/officeDocument/2006/relationships/image" Target="../media/image128.png"/><Relationship Id="rId12" Type="http://schemas.openxmlformats.org/officeDocument/2006/relationships/image" Target="../media/image133.png"/><Relationship Id="rId17" Type="http://schemas.openxmlformats.org/officeDocument/2006/relationships/image" Target="../media/image70.jpeg"/><Relationship Id="rId25" Type="http://schemas.openxmlformats.org/officeDocument/2006/relationships/image" Target="../media/image143.png"/><Relationship Id="rId2" Type="http://schemas.openxmlformats.org/officeDocument/2006/relationships/image" Target="../media/image124.png"/><Relationship Id="rId16" Type="http://schemas.openxmlformats.org/officeDocument/2006/relationships/image" Target="../media/image137.png"/><Relationship Id="rId20" Type="http://schemas.openxmlformats.org/officeDocument/2006/relationships/image" Target="../media/image12.png"/><Relationship Id="rId1" Type="http://schemas.openxmlformats.org/officeDocument/2006/relationships/image" Target="../media/image123.png"/><Relationship Id="rId6" Type="http://schemas.openxmlformats.org/officeDocument/2006/relationships/image" Target="../media/image127.png"/><Relationship Id="rId11" Type="http://schemas.openxmlformats.org/officeDocument/2006/relationships/image" Target="../media/image132.jpeg"/><Relationship Id="rId24" Type="http://schemas.openxmlformats.org/officeDocument/2006/relationships/image" Target="../media/image142.png"/><Relationship Id="rId5" Type="http://schemas.openxmlformats.org/officeDocument/2006/relationships/image" Target="../media/image69.png"/><Relationship Id="rId15" Type="http://schemas.openxmlformats.org/officeDocument/2006/relationships/image" Target="../media/image136.png"/><Relationship Id="rId23" Type="http://schemas.openxmlformats.org/officeDocument/2006/relationships/image" Target="../media/image141.png"/><Relationship Id="rId28" Type="http://schemas.openxmlformats.org/officeDocument/2006/relationships/image" Target="../media/image146.png"/><Relationship Id="rId10" Type="http://schemas.openxmlformats.org/officeDocument/2006/relationships/image" Target="../media/image131.png"/><Relationship Id="rId19" Type="http://schemas.openxmlformats.org/officeDocument/2006/relationships/image" Target="../media/image139.png"/><Relationship Id="rId4" Type="http://schemas.openxmlformats.org/officeDocument/2006/relationships/image" Target="../media/image126.png"/><Relationship Id="rId9" Type="http://schemas.openxmlformats.org/officeDocument/2006/relationships/image" Target="../media/image130.png"/><Relationship Id="rId14" Type="http://schemas.openxmlformats.org/officeDocument/2006/relationships/image" Target="../media/image135.png"/><Relationship Id="rId22" Type="http://schemas.microsoft.com/office/2007/relationships/hdphoto" Target="../media/hdphoto6.wdp"/><Relationship Id="rId27" Type="http://schemas.openxmlformats.org/officeDocument/2006/relationships/image" Target="../media/image14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13" Type="http://schemas.openxmlformats.org/officeDocument/2006/relationships/image" Target="../media/image23.png"/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12" Type="http://schemas.openxmlformats.org/officeDocument/2006/relationships/image" Target="../media/image22.png"/><Relationship Id="rId2" Type="http://schemas.openxmlformats.org/officeDocument/2006/relationships/image" Target="../media/image13.png"/><Relationship Id="rId1" Type="http://schemas.openxmlformats.org/officeDocument/2006/relationships/image" Target="../media/image4.jpeg"/><Relationship Id="rId6" Type="http://schemas.openxmlformats.org/officeDocument/2006/relationships/image" Target="../media/image17.jpeg"/><Relationship Id="rId11" Type="http://schemas.openxmlformats.org/officeDocument/2006/relationships/image" Target="../media/image21.jpeg"/><Relationship Id="rId5" Type="http://schemas.openxmlformats.org/officeDocument/2006/relationships/image" Target="../media/image16.jpeg"/><Relationship Id="rId10" Type="http://schemas.openxmlformats.org/officeDocument/2006/relationships/image" Target="../media/image20.jpeg"/><Relationship Id="rId4" Type="http://schemas.openxmlformats.org/officeDocument/2006/relationships/image" Target="../media/image15.jpeg"/><Relationship Id="rId9" Type="http://schemas.openxmlformats.org/officeDocument/2006/relationships/image" Target="../media/image12.png"/><Relationship Id="rId14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13" Type="http://schemas.openxmlformats.org/officeDocument/2006/relationships/image" Target="../media/image36.jpeg"/><Relationship Id="rId18" Type="http://schemas.openxmlformats.org/officeDocument/2006/relationships/image" Target="../media/image41.jpeg"/><Relationship Id="rId26" Type="http://schemas.microsoft.com/office/2007/relationships/hdphoto" Target="../media/hdphoto2.wdp"/><Relationship Id="rId3" Type="http://schemas.openxmlformats.org/officeDocument/2006/relationships/image" Target="../media/image27.jpeg"/><Relationship Id="rId21" Type="http://schemas.openxmlformats.org/officeDocument/2006/relationships/hyperlink" Target="http://www.grandline.ru/uploads/images/ogragdeniya/modul/Premiumplus/vetrovye_nagruzki_in_3.jpg" TargetMode="External"/><Relationship Id="rId34" Type="http://schemas.openxmlformats.org/officeDocument/2006/relationships/image" Target="../media/image51.png"/><Relationship Id="rId7" Type="http://schemas.openxmlformats.org/officeDocument/2006/relationships/image" Target="../media/image31.jpeg"/><Relationship Id="rId12" Type="http://schemas.openxmlformats.org/officeDocument/2006/relationships/image" Target="../media/image35.png"/><Relationship Id="rId17" Type="http://schemas.openxmlformats.org/officeDocument/2006/relationships/image" Target="../media/image40.jpeg"/><Relationship Id="rId25" Type="http://schemas.openxmlformats.org/officeDocument/2006/relationships/image" Target="../media/image45.jpeg"/><Relationship Id="rId33" Type="http://schemas.openxmlformats.org/officeDocument/2006/relationships/image" Target="../media/image50.png"/><Relationship Id="rId2" Type="http://schemas.openxmlformats.org/officeDocument/2006/relationships/image" Target="../media/image26.jpeg"/><Relationship Id="rId16" Type="http://schemas.openxmlformats.org/officeDocument/2006/relationships/image" Target="../media/image39.jpeg"/><Relationship Id="rId20" Type="http://schemas.openxmlformats.org/officeDocument/2006/relationships/hyperlink" Target="http://www.grandline.ru/shop/zabory-i-ograzhdeniya/modulnye-ograzhdeniya/ekonom/vetrovaya-nagruzka/tablica-vetrovoj-nagruzki/" TargetMode="External"/><Relationship Id="rId29" Type="http://schemas.openxmlformats.org/officeDocument/2006/relationships/image" Target="../media/image47.pn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11" Type="http://schemas.openxmlformats.org/officeDocument/2006/relationships/image" Target="../media/image12.png"/><Relationship Id="rId24" Type="http://schemas.microsoft.com/office/2007/relationships/hdphoto" Target="../media/hdphoto1.wdp"/><Relationship Id="rId32" Type="http://schemas.openxmlformats.org/officeDocument/2006/relationships/image" Target="../media/image49.png"/><Relationship Id="rId5" Type="http://schemas.openxmlformats.org/officeDocument/2006/relationships/image" Target="../media/image29.emf"/><Relationship Id="rId15" Type="http://schemas.openxmlformats.org/officeDocument/2006/relationships/image" Target="../media/image38.jpeg"/><Relationship Id="rId23" Type="http://schemas.openxmlformats.org/officeDocument/2006/relationships/image" Target="../media/image44.jpeg"/><Relationship Id="rId28" Type="http://schemas.microsoft.com/office/2007/relationships/hdphoto" Target="../media/hdphoto3.wdp"/><Relationship Id="rId10" Type="http://schemas.openxmlformats.org/officeDocument/2006/relationships/image" Target="../media/image34.jpeg"/><Relationship Id="rId19" Type="http://schemas.openxmlformats.org/officeDocument/2006/relationships/image" Target="../media/image42.png"/><Relationship Id="rId31" Type="http://schemas.openxmlformats.org/officeDocument/2006/relationships/image" Target="../media/image48.jpeg"/><Relationship Id="rId4" Type="http://schemas.openxmlformats.org/officeDocument/2006/relationships/image" Target="../media/image28.png"/><Relationship Id="rId9" Type="http://schemas.openxmlformats.org/officeDocument/2006/relationships/image" Target="../media/image33.jpeg"/><Relationship Id="rId14" Type="http://schemas.openxmlformats.org/officeDocument/2006/relationships/image" Target="../media/image37.jpeg"/><Relationship Id="rId22" Type="http://schemas.openxmlformats.org/officeDocument/2006/relationships/image" Target="../media/image43.png"/><Relationship Id="rId27" Type="http://schemas.openxmlformats.org/officeDocument/2006/relationships/image" Target="../media/image46.jpeg"/><Relationship Id="rId30" Type="http://schemas.microsoft.com/office/2007/relationships/hdphoto" Target="../media/hdphoto4.wdp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9.png"/><Relationship Id="rId13" Type="http://schemas.openxmlformats.org/officeDocument/2006/relationships/image" Target="../media/image64.jpeg"/><Relationship Id="rId3" Type="http://schemas.openxmlformats.org/officeDocument/2006/relationships/image" Target="../media/image54.jpeg"/><Relationship Id="rId7" Type="http://schemas.openxmlformats.org/officeDocument/2006/relationships/image" Target="../media/image58.jpeg"/><Relationship Id="rId12" Type="http://schemas.openxmlformats.org/officeDocument/2006/relationships/image" Target="../media/image63.jpeg"/><Relationship Id="rId2" Type="http://schemas.openxmlformats.org/officeDocument/2006/relationships/image" Target="../media/image53.jpeg"/><Relationship Id="rId1" Type="http://schemas.openxmlformats.org/officeDocument/2006/relationships/image" Target="../media/image52.jpeg"/><Relationship Id="rId6" Type="http://schemas.openxmlformats.org/officeDocument/2006/relationships/image" Target="../media/image57.png"/><Relationship Id="rId11" Type="http://schemas.openxmlformats.org/officeDocument/2006/relationships/image" Target="../media/image62.jpeg"/><Relationship Id="rId5" Type="http://schemas.openxmlformats.org/officeDocument/2006/relationships/image" Target="../media/image56.jpeg"/><Relationship Id="rId15" Type="http://schemas.openxmlformats.org/officeDocument/2006/relationships/image" Target="../media/image65.png"/><Relationship Id="rId10" Type="http://schemas.openxmlformats.org/officeDocument/2006/relationships/image" Target="../media/image61.jpeg"/><Relationship Id="rId4" Type="http://schemas.openxmlformats.org/officeDocument/2006/relationships/image" Target="../media/image55.jpeg"/><Relationship Id="rId9" Type="http://schemas.openxmlformats.org/officeDocument/2006/relationships/image" Target="../media/image60.png"/><Relationship Id="rId14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jpeg"/><Relationship Id="rId13" Type="http://schemas.openxmlformats.org/officeDocument/2006/relationships/image" Target="../media/image76.png"/><Relationship Id="rId3" Type="http://schemas.openxmlformats.org/officeDocument/2006/relationships/image" Target="../media/image68.jpeg"/><Relationship Id="rId7" Type="http://schemas.microsoft.com/office/2007/relationships/hdphoto" Target="../media/hdphoto5.wdp"/><Relationship Id="rId12" Type="http://schemas.openxmlformats.org/officeDocument/2006/relationships/image" Target="../media/image75.png"/><Relationship Id="rId2" Type="http://schemas.openxmlformats.org/officeDocument/2006/relationships/image" Target="../media/image67.png"/><Relationship Id="rId1" Type="http://schemas.openxmlformats.org/officeDocument/2006/relationships/image" Target="../media/image66.jpeg"/><Relationship Id="rId6" Type="http://schemas.openxmlformats.org/officeDocument/2006/relationships/image" Target="../media/image71.jpeg"/><Relationship Id="rId11" Type="http://schemas.openxmlformats.org/officeDocument/2006/relationships/image" Target="../media/image74.png"/><Relationship Id="rId5" Type="http://schemas.openxmlformats.org/officeDocument/2006/relationships/image" Target="../media/image70.jpeg"/><Relationship Id="rId10" Type="http://schemas.openxmlformats.org/officeDocument/2006/relationships/image" Target="../media/image73.png"/><Relationship Id="rId4" Type="http://schemas.openxmlformats.org/officeDocument/2006/relationships/image" Target="../media/image69.png"/><Relationship Id="rId9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png"/><Relationship Id="rId13" Type="http://schemas.openxmlformats.org/officeDocument/2006/relationships/image" Target="../media/image90.png"/><Relationship Id="rId18" Type="http://schemas.openxmlformats.org/officeDocument/2006/relationships/image" Target="../media/image95.png"/><Relationship Id="rId3" Type="http://schemas.openxmlformats.org/officeDocument/2006/relationships/image" Target="../media/image80.jpeg"/><Relationship Id="rId21" Type="http://schemas.openxmlformats.org/officeDocument/2006/relationships/image" Target="../media/image98.jpeg"/><Relationship Id="rId7" Type="http://schemas.openxmlformats.org/officeDocument/2006/relationships/image" Target="../media/image84.png"/><Relationship Id="rId12" Type="http://schemas.openxmlformats.org/officeDocument/2006/relationships/image" Target="../media/image89.jpeg"/><Relationship Id="rId17" Type="http://schemas.openxmlformats.org/officeDocument/2006/relationships/image" Target="../media/image94.jpeg"/><Relationship Id="rId2" Type="http://schemas.openxmlformats.org/officeDocument/2006/relationships/image" Target="../media/image79.jpeg"/><Relationship Id="rId16" Type="http://schemas.openxmlformats.org/officeDocument/2006/relationships/image" Target="../media/image93.jpeg"/><Relationship Id="rId20" Type="http://schemas.openxmlformats.org/officeDocument/2006/relationships/image" Target="../media/image97.jpeg"/><Relationship Id="rId1" Type="http://schemas.openxmlformats.org/officeDocument/2006/relationships/image" Target="../media/image78.png"/><Relationship Id="rId6" Type="http://schemas.openxmlformats.org/officeDocument/2006/relationships/image" Target="../media/image83.png"/><Relationship Id="rId11" Type="http://schemas.openxmlformats.org/officeDocument/2006/relationships/image" Target="../media/image88.png"/><Relationship Id="rId5" Type="http://schemas.openxmlformats.org/officeDocument/2006/relationships/image" Target="../media/image82.jpeg"/><Relationship Id="rId15" Type="http://schemas.openxmlformats.org/officeDocument/2006/relationships/image" Target="../media/image92.jpeg"/><Relationship Id="rId10" Type="http://schemas.openxmlformats.org/officeDocument/2006/relationships/image" Target="../media/image87.png"/><Relationship Id="rId19" Type="http://schemas.openxmlformats.org/officeDocument/2006/relationships/image" Target="../media/image96.jpeg"/><Relationship Id="rId4" Type="http://schemas.openxmlformats.org/officeDocument/2006/relationships/image" Target="../media/image81.jpeg"/><Relationship Id="rId9" Type="http://schemas.openxmlformats.org/officeDocument/2006/relationships/image" Target="../media/image86.png"/><Relationship Id="rId14" Type="http://schemas.openxmlformats.org/officeDocument/2006/relationships/image" Target="../media/image91.png"/><Relationship Id="rId22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6.png"/><Relationship Id="rId13" Type="http://schemas.openxmlformats.org/officeDocument/2006/relationships/image" Target="../media/image12.png"/><Relationship Id="rId3" Type="http://schemas.openxmlformats.org/officeDocument/2006/relationships/image" Target="../media/image101.emf"/><Relationship Id="rId7" Type="http://schemas.openxmlformats.org/officeDocument/2006/relationships/image" Target="../media/image105.png"/><Relationship Id="rId12" Type="http://schemas.openxmlformats.org/officeDocument/2006/relationships/image" Target="../media/image110.jpeg"/><Relationship Id="rId2" Type="http://schemas.openxmlformats.org/officeDocument/2006/relationships/image" Target="../media/image100.png"/><Relationship Id="rId1" Type="http://schemas.openxmlformats.org/officeDocument/2006/relationships/image" Target="../media/image99.jpeg"/><Relationship Id="rId6" Type="http://schemas.openxmlformats.org/officeDocument/2006/relationships/image" Target="../media/image104.png"/><Relationship Id="rId11" Type="http://schemas.openxmlformats.org/officeDocument/2006/relationships/image" Target="../media/image109.jpeg"/><Relationship Id="rId5" Type="http://schemas.openxmlformats.org/officeDocument/2006/relationships/image" Target="../media/image103.png"/><Relationship Id="rId15" Type="http://schemas.openxmlformats.org/officeDocument/2006/relationships/image" Target="../media/image112.jpeg"/><Relationship Id="rId10" Type="http://schemas.openxmlformats.org/officeDocument/2006/relationships/image" Target="../media/image108.jpeg"/><Relationship Id="rId4" Type="http://schemas.openxmlformats.org/officeDocument/2006/relationships/image" Target="../media/image102.jpeg"/><Relationship Id="rId9" Type="http://schemas.openxmlformats.org/officeDocument/2006/relationships/image" Target="../media/image107.png"/><Relationship Id="rId14" Type="http://schemas.openxmlformats.org/officeDocument/2006/relationships/image" Target="../media/image11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151811</xdr:colOff>
      <xdr:row>22</xdr:row>
      <xdr:rowOff>62340</xdr:rowOff>
    </xdr:from>
    <xdr:to>
      <xdr:col>0</xdr:col>
      <xdr:colOff>1752812</xdr:colOff>
      <xdr:row>23</xdr:row>
      <xdr:rowOff>386490</xdr:rowOff>
    </xdr:to>
    <xdr:pic>
      <xdr:nvPicPr>
        <xdr:cNvPr id="5" name="Рисунок 31" descr="укосин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811" y="9225390"/>
          <a:ext cx="1601001" cy="6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743331</xdr:colOff>
      <xdr:row>24</xdr:row>
      <xdr:rowOff>51958</xdr:rowOff>
    </xdr:from>
    <xdr:to>
      <xdr:col>0</xdr:col>
      <xdr:colOff>1337218</xdr:colOff>
      <xdr:row>25</xdr:row>
      <xdr:rowOff>376107</xdr:rowOff>
    </xdr:to>
    <xdr:pic>
      <xdr:nvPicPr>
        <xdr:cNvPr id="7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3331" y="9977008"/>
          <a:ext cx="593887" cy="6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69273</xdr:colOff>
      <xdr:row>12</xdr:row>
      <xdr:rowOff>242454</xdr:rowOff>
    </xdr:from>
    <xdr:to>
      <xdr:col>0</xdr:col>
      <xdr:colOff>2026228</xdr:colOff>
      <xdr:row>21</xdr:row>
      <xdr:rowOff>69272</xdr:rowOff>
    </xdr:to>
    <xdr:grpSp>
      <xdr:nvGrpSpPr>
        <xdr:cNvPr id="2" name="Группа 1"/>
        <xdr:cNvGrpSpPr>
          <a:grpSpLocks noChangeAspect="1"/>
        </xdr:cNvGrpSpPr>
      </xdr:nvGrpSpPr>
      <xdr:grpSpPr>
        <a:xfrm>
          <a:off x="69273" y="8257061"/>
          <a:ext cx="1956955" cy="2276104"/>
          <a:chOff x="709404" y="6889714"/>
          <a:chExt cx="1737431" cy="1980000"/>
        </a:xfrm>
      </xdr:grpSpPr>
      <xdr:pic>
        <xdr:nvPicPr>
          <xdr:cNvPr id="4" name="Рисунок 30" descr="столб 51 RAL6005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 rot="16200000">
            <a:off x="80522" y="7518596"/>
            <a:ext cx="1980000" cy="7222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Picture 140" descr="Рисунок32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 flipH="1">
            <a:off x="1720360" y="6889714"/>
            <a:ext cx="726475" cy="19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738777</xdr:colOff>
      <xdr:row>6</xdr:row>
      <xdr:rowOff>95455</xdr:rowOff>
    </xdr:from>
    <xdr:to>
      <xdr:col>0</xdr:col>
      <xdr:colOff>1416826</xdr:colOff>
      <xdr:row>8</xdr:row>
      <xdr:rowOff>402955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738777" y="3657805"/>
          <a:ext cx="678049" cy="12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612626</xdr:colOff>
      <xdr:row>1</xdr:row>
      <xdr:rowOff>779319</xdr:rowOff>
    </xdr:from>
    <xdr:to>
      <xdr:col>7</xdr:col>
      <xdr:colOff>1303539</xdr:colOff>
      <xdr:row>3</xdr:row>
      <xdr:rowOff>161636</xdr:rowOff>
    </xdr:to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>
        <a:xfrm>
          <a:off x="12215808" y="1749137"/>
          <a:ext cx="2076367" cy="785090"/>
        </a:xfrm>
        <a:prstGeom prst="rect">
          <a:avLst/>
        </a:prstGeom>
      </xdr:spPr>
    </xdr:pic>
    <xdr:clientData/>
  </xdr:twoCellAnchor>
  <xdr:twoCellAnchor editAs="oneCell">
    <xdr:from>
      <xdr:col>0</xdr:col>
      <xdr:colOff>764073</xdr:colOff>
      <xdr:row>26</xdr:row>
      <xdr:rowOff>69271</xdr:rowOff>
    </xdr:from>
    <xdr:to>
      <xdr:col>0</xdr:col>
      <xdr:colOff>1295244</xdr:colOff>
      <xdr:row>26</xdr:row>
      <xdr:rowOff>681271</xdr:rowOff>
    </xdr:to>
    <xdr:pic>
      <xdr:nvPicPr>
        <xdr:cNvPr id="12" name="Рисунок 4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64073" y="10756321"/>
          <a:ext cx="531171" cy="61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38108</xdr:colOff>
      <xdr:row>33</xdr:row>
      <xdr:rowOff>62345</xdr:rowOff>
    </xdr:from>
    <xdr:to>
      <xdr:col>5</xdr:col>
      <xdr:colOff>616148</xdr:colOff>
      <xdr:row>40</xdr:row>
      <xdr:rowOff>568391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8" y="15666027"/>
          <a:ext cx="11003585" cy="7416000"/>
        </a:xfrm>
        <a:prstGeom prst="rect">
          <a:avLst/>
        </a:prstGeom>
      </xdr:spPr>
    </xdr:pic>
    <xdr:clientData/>
  </xdr:twoCellAnchor>
  <xdr:twoCellAnchor>
    <xdr:from>
      <xdr:col>1</xdr:col>
      <xdr:colOff>987137</xdr:colOff>
      <xdr:row>20</xdr:row>
      <xdr:rowOff>259771</xdr:rowOff>
    </xdr:from>
    <xdr:to>
      <xdr:col>1</xdr:col>
      <xdr:colOff>2892136</xdr:colOff>
      <xdr:row>22</xdr:row>
      <xdr:rowOff>76498</xdr:rowOff>
    </xdr:to>
    <xdr:sp macro="" textlink="">
      <xdr:nvSpPr>
        <xdr:cNvPr id="13" name="Скругленный прямоугольник 12"/>
        <xdr:cNvSpPr/>
      </xdr:nvSpPr>
      <xdr:spPr>
        <a:xfrm>
          <a:off x="3117273" y="9040089"/>
          <a:ext cx="1904999" cy="648000"/>
        </a:xfrm>
        <a:prstGeom prst="roundRect">
          <a:avLst/>
        </a:prstGeom>
        <a:gradFill>
          <a:gsLst>
            <a:gs pos="0">
              <a:schemeClr val="tx1">
                <a:lumMod val="85000"/>
                <a:lumOff val="15000"/>
              </a:schemeClr>
            </a:gs>
            <a:gs pos="80000">
              <a:schemeClr val="tx1">
                <a:lumMod val="75000"/>
                <a:lumOff val="25000"/>
              </a:schemeClr>
            </a:gs>
            <a:gs pos="100000">
              <a:schemeClr val="tx1">
                <a:lumMod val="50000"/>
                <a:lumOff val="50000"/>
              </a:schemeClr>
            </a:gs>
          </a:gsLst>
        </a:gra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1160317</xdr:colOff>
      <xdr:row>21</xdr:row>
      <xdr:rowOff>0</xdr:rowOff>
    </xdr:from>
    <xdr:to>
      <xdr:col>1</xdr:col>
      <xdr:colOff>2805547</xdr:colOff>
      <xdr:row>22</xdr:row>
      <xdr:rowOff>121227</xdr:rowOff>
    </xdr:to>
    <xdr:sp macro="" textlink="">
      <xdr:nvSpPr>
        <xdr:cNvPr id="14" name="TextBox 13"/>
        <xdr:cNvSpPr txBox="1"/>
      </xdr:nvSpPr>
      <xdr:spPr>
        <a:xfrm>
          <a:off x="3290453" y="9092042"/>
          <a:ext cx="1645230" cy="640776"/>
        </a:xfrm>
        <a:prstGeom prst="rect">
          <a:avLst/>
        </a:prstGeom>
        <a:noFill/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6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Распродажа </a:t>
          </a:r>
          <a:r>
            <a:rPr lang="ru-RU" sz="1600" b="1">
              <a:solidFill>
                <a:schemeClr val="bg1">
                  <a:lumMod val="85000"/>
                </a:schemeClr>
              </a:solidFill>
              <a:latin typeface="Arial" pitchFamily="34" charset="0"/>
              <a:cs typeface="Arial" pitchFamily="34" charset="0"/>
            </a:rPr>
            <a:t>остатков</a:t>
          </a:r>
        </a:p>
      </xdr:txBody>
    </xdr:sp>
    <xdr:clientData/>
  </xdr:twoCellAnchor>
  <xdr:twoCellAnchor>
    <xdr:from>
      <xdr:col>1</xdr:col>
      <xdr:colOff>2892136</xdr:colOff>
      <xdr:row>21</xdr:row>
      <xdr:rowOff>0</xdr:rowOff>
    </xdr:from>
    <xdr:to>
      <xdr:col>2</xdr:col>
      <xdr:colOff>467591</xdr:colOff>
      <xdr:row>21</xdr:row>
      <xdr:rowOff>29589</xdr:rowOff>
    </xdr:to>
    <xdr:cxnSp macro="">
      <xdr:nvCxnSpPr>
        <xdr:cNvPr id="15" name="Прямая со стрелкой 14"/>
        <xdr:cNvCxnSpPr>
          <a:stCxn id="13" idx="3"/>
        </xdr:cNvCxnSpPr>
      </xdr:nvCxnSpPr>
      <xdr:spPr>
        <a:xfrm flipV="1">
          <a:off x="5022272" y="9230591"/>
          <a:ext cx="658092" cy="133498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329042</xdr:colOff>
      <xdr:row>27</xdr:row>
      <xdr:rowOff>86590</xdr:rowOff>
    </xdr:from>
    <xdr:to>
      <xdr:col>0</xdr:col>
      <xdr:colOff>1484895</xdr:colOff>
      <xdr:row>28</xdr:row>
      <xdr:rowOff>386863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329042" y="11932226"/>
          <a:ext cx="1155853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969818</xdr:colOff>
      <xdr:row>0</xdr:row>
      <xdr:rowOff>571500</xdr:rowOff>
    </xdr:from>
    <xdr:to>
      <xdr:col>7</xdr:col>
      <xdr:colOff>1681017</xdr:colOff>
      <xdr:row>1</xdr:row>
      <xdr:rowOff>747284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5409" y="571500"/>
          <a:ext cx="6374244" cy="11456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380996</xdr:colOff>
      <xdr:row>4</xdr:row>
      <xdr:rowOff>42058</xdr:rowOff>
    </xdr:from>
    <xdr:to>
      <xdr:col>0</xdr:col>
      <xdr:colOff>1353709</xdr:colOff>
      <xdr:row>4</xdr:row>
      <xdr:rowOff>1110551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6" y="2431967"/>
          <a:ext cx="972713" cy="1068493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380996</xdr:colOff>
      <xdr:row>5</xdr:row>
      <xdr:rowOff>59376</xdr:rowOff>
    </xdr:from>
    <xdr:to>
      <xdr:col>0</xdr:col>
      <xdr:colOff>1320168</xdr:colOff>
      <xdr:row>5</xdr:row>
      <xdr:rowOff>1091869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6" y="3592285"/>
          <a:ext cx="939172" cy="1032493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380996</xdr:colOff>
      <xdr:row>6</xdr:row>
      <xdr:rowOff>42058</xdr:rowOff>
    </xdr:from>
    <xdr:to>
      <xdr:col>0</xdr:col>
      <xdr:colOff>1353709</xdr:colOff>
      <xdr:row>6</xdr:row>
      <xdr:rowOff>1110551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6" y="4717967"/>
          <a:ext cx="972713" cy="1068493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</xdr:colOff>
      <xdr:row>0</xdr:row>
      <xdr:rowOff>51957</xdr:rowOff>
    </xdr:from>
    <xdr:to>
      <xdr:col>3</xdr:col>
      <xdr:colOff>121227</xdr:colOff>
      <xdr:row>1</xdr:row>
      <xdr:rowOff>388857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954" y="51957"/>
          <a:ext cx="5437909" cy="13067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380997</xdr:colOff>
      <xdr:row>8</xdr:row>
      <xdr:rowOff>173179</xdr:rowOff>
    </xdr:from>
    <xdr:to>
      <xdr:col>0</xdr:col>
      <xdr:colOff>1358280</xdr:colOff>
      <xdr:row>8</xdr:row>
      <xdr:rowOff>1253179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7" y="6303815"/>
          <a:ext cx="977283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380995</xdr:colOff>
      <xdr:row>9</xdr:row>
      <xdr:rowOff>51954</xdr:rowOff>
    </xdr:from>
    <xdr:to>
      <xdr:col>0</xdr:col>
      <xdr:colOff>984153</xdr:colOff>
      <xdr:row>9</xdr:row>
      <xdr:rowOff>1131954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5" y="7568045"/>
          <a:ext cx="603158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207816</xdr:colOff>
      <xdr:row>10</xdr:row>
      <xdr:rowOff>51954</xdr:rowOff>
    </xdr:from>
    <xdr:to>
      <xdr:col>0</xdr:col>
      <xdr:colOff>1455140</xdr:colOff>
      <xdr:row>10</xdr:row>
      <xdr:rowOff>1131954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16" y="8711045"/>
          <a:ext cx="1247324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347869</xdr:colOff>
      <xdr:row>14</xdr:row>
      <xdr:rowOff>242447</xdr:rowOff>
    </xdr:from>
    <xdr:to>
      <xdr:col>0</xdr:col>
      <xdr:colOff>1315086</xdr:colOff>
      <xdr:row>14</xdr:row>
      <xdr:rowOff>782447</xdr:rowOff>
    </xdr:to>
    <xdr:pic>
      <xdr:nvPicPr>
        <xdr:cNvPr id="18" name="Рисунок 17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1622" r="22548"/>
        <a:stretch/>
      </xdr:blipFill>
      <xdr:spPr>
        <a:xfrm rot="5400000">
          <a:off x="561478" y="10385111"/>
          <a:ext cx="540000" cy="967217"/>
        </a:xfrm>
        <a:prstGeom prst="rect">
          <a:avLst/>
        </a:prstGeom>
      </xdr:spPr>
    </xdr:pic>
    <xdr:clientData/>
  </xdr:twoCellAnchor>
  <xdr:twoCellAnchor editAs="oneCell">
    <xdr:from>
      <xdr:col>0</xdr:col>
      <xdr:colOff>541046</xdr:colOff>
      <xdr:row>15</xdr:row>
      <xdr:rowOff>86590</xdr:rowOff>
    </xdr:from>
    <xdr:to>
      <xdr:col>0</xdr:col>
      <xdr:colOff>1121911</xdr:colOff>
      <xdr:row>15</xdr:row>
      <xdr:rowOff>806590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46" y="11326090"/>
          <a:ext cx="58086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750188</xdr:colOff>
      <xdr:row>17</xdr:row>
      <xdr:rowOff>103908</xdr:rowOff>
    </xdr:from>
    <xdr:to>
      <xdr:col>0</xdr:col>
      <xdr:colOff>912769</xdr:colOff>
      <xdr:row>17</xdr:row>
      <xdr:rowOff>823908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188" y="12226635"/>
          <a:ext cx="162581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535188</xdr:colOff>
      <xdr:row>18</xdr:row>
      <xdr:rowOff>103905</xdr:rowOff>
    </xdr:from>
    <xdr:to>
      <xdr:col>0</xdr:col>
      <xdr:colOff>1127768</xdr:colOff>
      <xdr:row>18</xdr:row>
      <xdr:rowOff>823905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188" y="13109860"/>
          <a:ext cx="59258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535188</xdr:colOff>
      <xdr:row>19</xdr:row>
      <xdr:rowOff>117763</xdr:rowOff>
    </xdr:from>
    <xdr:to>
      <xdr:col>0</xdr:col>
      <xdr:colOff>1127768</xdr:colOff>
      <xdr:row>19</xdr:row>
      <xdr:rowOff>837763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188" y="14006945"/>
          <a:ext cx="592580" cy="72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38100</xdr:rowOff>
    </xdr:from>
    <xdr:to>
      <xdr:col>3</xdr:col>
      <xdr:colOff>0</xdr:colOff>
      <xdr:row>3</xdr:row>
      <xdr:rowOff>314325</xdr:rowOff>
    </xdr:to>
    <xdr:sp macro="" textlink="">
      <xdr:nvSpPr>
        <xdr:cNvPr id="155649" name="Rectangle 1109"/>
        <xdr:cNvSpPr>
          <a:spLocks noChangeArrowheads="1"/>
        </xdr:cNvSpPr>
      </xdr:nvSpPr>
      <xdr:spPr bwMode="auto">
        <a:xfrm>
          <a:off x="9344025" y="2847975"/>
          <a:ext cx="0" cy="2762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</xdr:row>
      <xdr:rowOff>57150</xdr:rowOff>
    </xdr:from>
    <xdr:to>
      <xdr:col>3</xdr:col>
      <xdr:colOff>0</xdr:colOff>
      <xdr:row>3</xdr:row>
      <xdr:rowOff>285750</xdr:rowOff>
    </xdr:to>
    <xdr:sp macro="" textlink="">
      <xdr:nvSpPr>
        <xdr:cNvPr id="155650" name="Rectangle 1110"/>
        <xdr:cNvSpPr>
          <a:spLocks noChangeArrowheads="1"/>
        </xdr:cNvSpPr>
      </xdr:nvSpPr>
      <xdr:spPr bwMode="auto">
        <a:xfrm>
          <a:off x="9344025" y="2867025"/>
          <a:ext cx="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</xdr:row>
      <xdr:rowOff>76200</xdr:rowOff>
    </xdr:from>
    <xdr:to>
      <xdr:col>3</xdr:col>
      <xdr:colOff>0</xdr:colOff>
      <xdr:row>3</xdr:row>
      <xdr:rowOff>238125</xdr:rowOff>
    </xdr:to>
    <xdr:sp macro="" textlink="">
      <xdr:nvSpPr>
        <xdr:cNvPr id="155651" name="Oval 1128"/>
        <xdr:cNvSpPr>
          <a:spLocks noChangeArrowheads="1"/>
        </xdr:cNvSpPr>
      </xdr:nvSpPr>
      <xdr:spPr bwMode="auto">
        <a:xfrm>
          <a:off x="9344025" y="2886075"/>
          <a:ext cx="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266700</xdr:rowOff>
    </xdr:from>
    <xdr:to>
      <xdr:col>3</xdr:col>
      <xdr:colOff>0</xdr:colOff>
      <xdr:row>6</xdr:row>
      <xdr:rowOff>133350</xdr:rowOff>
    </xdr:to>
    <xdr:sp macro="" textlink="">
      <xdr:nvSpPr>
        <xdr:cNvPr id="155652" name="Rectangle 1110"/>
        <xdr:cNvSpPr>
          <a:spLocks noChangeArrowheads="1"/>
        </xdr:cNvSpPr>
      </xdr:nvSpPr>
      <xdr:spPr bwMode="auto">
        <a:xfrm>
          <a:off x="9344025" y="3409950"/>
          <a:ext cx="0" cy="828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55653" name="Rectangle 1110"/>
        <xdr:cNvSpPr>
          <a:spLocks noChangeArrowheads="1"/>
        </xdr:cNvSpPr>
      </xdr:nvSpPr>
      <xdr:spPr bwMode="auto">
        <a:xfrm>
          <a:off x="9344025" y="140684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55654" name="Rectangle 1110"/>
        <xdr:cNvSpPr>
          <a:spLocks noChangeArrowheads="1"/>
        </xdr:cNvSpPr>
      </xdr:nvSpPr>
      <xdr:spPr bwMode="auto">
        <a:xfrm>
          <a:off x="9344025" y="140684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56</xdr:row>
      <xdr:rowOff>76200</xdr:rowOff>
    </xdr:from>
    <xdr:to>
      <xdr:col>3</xdr:col>
      <xdr:colOff>0</xdr:colOff>
      <xdr:row>56</xdr:row>
      <xdr:rowOff>952500</xdr:rowOff>
    </xdr:to>
    <xdr:sp macro="" textlink="">
      <xdr:nvSpPr>
        <xdr:cNvPr id="155655" name="Rectangle 1109"/>
        <xdr:cNvSpPr>
          <a:spLocks noChangeArrowheads="1"/>
        </xdr:cNvSpPr>
      </xdr:nvSpPr>
      <xdr:spPr bwMode="auto">
        <a:xfrm>
          <a:off x="9344025" y="24812625"/>
          <a:ext cx="0" cy="8763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56</xdr:row>
      <xdr:rowOff>361950</xdr:rowOff>
    </xdr:from>
    <xdr:to>
      <xdr:col>3</xdr:col>
      <xdr:colOff>0</xdr:colOff>
      <xdr:row>56</xdr:row>
      <xdr:rowOff>733425</xdr:rowOff>
    </xdr:to>
    <xdr:sp macro="" textlink="">
      <xdr:nvSpPr>
        <xdr:cNvPr id="155656" name="PIJL-LINKS en -RECHTS 702"/>
        <xdr:cNvSpPr>
          <a:spLocks noChangeArrowheads="1"/>
        </xdr:cNvSpPr>
      </xdr:nvSpPr>
      <xdr:spPr bwMode="auto">
        <a:xfrm>
          <a:off x="9344025" y="25098375"/>
          <a:ext cx="0" cy="371475"/>
        </a:xfrm>
        <a:prstGeom prst="leftRightArrow">
          <a:avLst>
            <a:gd name="adj1" fmla="val 50000"/>
            <a:gd name="adj2" fmla="val -2147483648"/>
          </a:avLst>
        </a:prstGeom>
        <a:solidFill>
          <a:srgbClr val="000000"/>
        </a:solidFill>
        <a:ln w="25400" algn="ctr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54</xdr:row>
      <xdr:rowOff>38100</xdr:rowOff>
    </xdr:from>
    <xdr:to>
      <xdr:col>3</xdr:col>
      <xdr:colOff>0</xdr:colOff>
      <xdr:row>54</xdr:row>
      <xdr:rowOff>704850</xdr:rowOff>
    </xdr:to>
    <xdr:sp macro="" textlink="">
      <xdr:nvSpPr>
        <xdr:cNvPr id="155657" name="Rectangle 1109"/>
        <xdr:cNvSpPr>
          <a:spLocks noChangeArrowheads="1"/>
        </xdr:cNvSpPr>
      </xdr:nvSpPr>
      <xdr:spPr bwMode="auto">
        <a:xfrm>
          <a:off x="9344025" y="23536275"/>
          <a:ext cx="0" cy="3714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54</xdr:row>
      <xdr:rowOff>171450</xdr:rowOff>
    </xdr:from>
    <xdr:to>
      <xdr:col>3</xdr:col>
      <xdr:colOff>0</xdr:colOff>
      <xdr:row>54</xdr:row>
      <xdr:rowOff>581025</xdr:rowOff>
    </xdr:to>
    <xdr:sp macro="" textlink="">
      <xdr:nvSpPr>
        <xdr:cNvPr id="155658" name="PIJL-LINKS en -RECHTS 721"/>
        <xdr:cNvSpPr>
          <a:spLocks noChangeArrowheads="1"/>
        </xdr:cNvSpPr>
      </xdr:nvSpPr>
      <xdr:spPr bwMode="auto">
        <a:xfrm>
          <a:off x="9344025" y="23669625"/>
          <a:ext cx="0" cy="238125"/>
        </a:xfrm>
        <a:prstGeom prst="leftRightArrow">
          <a:avLst>
            <a:gd name="adj1" fmla="val 50000"/>
            <a:gd name="adj2" fmla="val -2147483648"/>
          </a:avLst>
        </a:prstGeom>
        <a:solidFill>
          <a:srgbClr val="000000"/>
        </a:solidFill>
        <a:ln w="25400" algn="ctr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123266</xdr:colOff>
      <xdr:row>67</xdr:row>
      <xdr:rowOff>0</xdr:rowOff>
    </xdr:from>
    <xdr:to>
      <xdr:col>6</xdr:col>
      <xdr:colOff>414617</xdr:colOff>
      <xdr:row>67</xdr:row>
      <xdr:rowOff>0</xdr:rowOff>
    </xdr:to>
    <xdr:sp macro="" textlink="">
      <xdr:nvSpPr>
        <xdr:cNvPr id="12" name="PIJL-LINKS en -RECHTS 744"/>
        <xdr:cNvSpPr/>
      </xdr:nvSpPr>
      <xdr:spPr>
        <a:xfrm>
          <a:off x="13839266" y="32099250"/>
          <a:ext cx="291351" cy="0"/>
        </a:xfrm>
        <a:prstGeom prst="left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3</xdr:col>
      <xdr:colOff>190500</xdr:colOff>
      <xdr:row>52</xdr:row>
      <xdr:rowOff>2931</xdr:rowOff>
    </xdr:from>
    <xdr:to>
      <xdr:col>3</xdr:col>
      <xdr:colOff>359019</xdr:colOff>
      <xdr:row>52</xdr:row>
      <xdr:rowOff>3254</xdr:rowOff>
    </xdr:to>
    <xdr:sp macro="" textlink="">
      <xdr:nvSpPr>
        <xdr:cNvPr id="13" name="PIJL-LINKS en -RECHTS 912"/>
        <xdr:cNvSpPr/>
      </xdr:nvSpPr>
      <xdr:spPr>
        <a:xfrm>
          <a:off x="9534525" y="22243806"/>
          <a:ext cx="168519" cy="323"/>
        </a:xfrm>
        <a:prstGeom prst="left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3</xdr:col>
      <xdr:colOff>190500</xdr:colOff>
      <xdr:row>52</xdr:row>
      <xdr:rowOff>2931</xdr:rowOff>
    </xdr:from>
    <xdr:to>
      <xdr:col>3</xdr:col>
      <xdr:colOff>359019</xdr:colOff>
      <xdr:row>52</xdr:row>
      <xdr:rowOff>3254</xdr:rowOff>
    </xdr:to>
    <xdr:sp macro="" textlink="">
      <xdr:nvSpPr>
        <xdr:cNvPr id="14" name="PIJL-LINKS en -RECHTS 918"/>
        <xdr:cNvSpPr/>
      </xdr:nvSpPr>
      <xdr:spPr>
        <a:xfrm>
          <a:off x="9534525" y="22243806"/>
          <a:ext cx="168519" cy="323"/>
        </a:xfrm>
        <a:prstGeom prst="left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4</xdr:col>
      <xdr:colOff>57150</xdr:colOff>
      <xdr:row>52</xdr:row>
      <xdr:rowOff>0</xdr:rowOff>
    </xdr:from>
    <xdr:to>
      <xdr:col>4</xdr:col>
      <xdr:colOff>266700</xdr:colOff>
      <xdr:row>52</xdr:row>
      <xdr:rowOff>0</xdr:rowOff>
    </xdr:to>
    <xdr:sp macro="" textlink="">
      <xdr:nvSpPr>
        <xdr:cNvPr id="155662" name="PIJL-OMLAAG 931"/>
        <xdr:cNvSpPr>
          <a:spLocks noChangeArrowheads="1"/>
        </xdr:cNvSpPr>
      </xdr:nvSpPr>
      <xdr:spPr bwMode="auto">
        <a:xfrm>
          <a:off x="10906125" y="22298025"/>
          <a:ext cx="20955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000000"/>
        </a:solidFill>
        <a:ln w="25400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51</xdr:row>
      <xdr:rowOff>209550</xdr:rowOff>
    </xdr:from>
    <xdr:to>
      <xdr:col>5</xdr:col>
      <xdr:colOff>285750</xdr:colOff>
      <xdr:row>51</xdr:row>
      <xdr:rowOff>819150</xdr:rowOff>
    </xdr:to>
    <xdr:sp macro="" textlink="">
      <xdr:nvSpPr>
        <xdr:cNvPr id="155663" name="PIJL-LINKS en -RECHTS 932"/>
        <xdr:cNvSpPr>
          <a:spLocks noChangeArrowheads="1"/>
        </xdr:cNvSpPr>
      </xdr:nvSpPr>
      <xdr:spPr bwMode="auto">
        <a:xfrm rot="-5400000">
          <a:off x="10891838" y="20245387"/>
          <a:ext cx="609600" cy="238125"/>
        </a:xfrm>
        <a:prstGeom prst="leftRightArrow">
          <a:avLst>
            <a:gd name="adj1" fmla="val 50000"/>
            <a:gd name="adj2" fmla="val 43753"/>
          </a:avLst>
        </a:prstGeom>
        <a:solidFill>
          <a:srgbClr val="000000"/>
        </a:solidFill>
        <a:ln w="25400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52</xdr:row>
      <xdr:rowOff>0</xdr:rowOff>
    </xdr:from>
    <xdr:to>
      <xdr:col>5</xdr:col>
      <xdr:colOff>285750</xdr:colOff>
      <xdr:row>52</xdr:row>
      <xdr:rowOff>0</xdr:rowOff>
    </xdr:to>
    <xdr:sp macro="" textlink="">
      <xdr:nvSpPr>
        <xdr:cNvPr id="155664" name="PIJL-LINKS en -RECHTS 933"/>
        <xdr:cNvSpPr>
          <a:spLocks noChangeArrowheads="1"/>
        </xdr:cNvSpPr>
      </xdr:nvSpPr>
      <xdr:spPr bwMode="auto">
        <a:xfrm rot="-5400000">
          <a:off x="12492038" y="22178962"/>
          <a:ext cx="0" cy="238125"/>
        </a:xfrm>
        <a:prstGeom prst="leftRightArrow">
          <a:avLst>
            <a:gd name="adj1" fmla="val 50000"/>
            <a:gd name="adj2" fmla="val -2147483648"/>
          </a:avLst>
        </a:prstGeom>
        <a:solidFill>
          <a:srgbClr val="000000"/>
        </a:solidFill>
        <a:ln w="25400" algn="ctr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190500</xdr:colOff>
      <xdr:row>52</xdr:row>
      <xdr:rowOff>2931</xdr:rowOff>
    </xdr:from>
    <xdr:to>
      <xdr:col>3</xdr:col>
      <xdr:colOff>359019</xdr:colOff>
      <xdr:row>52</xdr:row>
      <xdr:rowOff>3254</xdr:rowOff>
    </xdr:to>
    <xdr:sp macro="" textlink="">
      <xdr:nvSpPr>
        <xdr:cNvPr id="18" name="PIJL-LINKS en -RECHTS 934"/>
        <xdr:cNvSpPr/>
      </xdr:nvSpPr>
      <xdr:spPr>
        <a:xfrm>
          <a:off x="9534525" y="22243806"/>
          <a:ext cx="168519" cy="323"/>
        </a:xfrm>
        <a:prstGeom prst="left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5</xdr:col>
      <xdr:colOff>66675</xdr:colOff>
      <xdr:row>53</xdr:row>
      <xdr:rowOff>152400</xdr:rowOff>
    </xdr:from>
    <xdr:to>
      <xdr:col>5</xdr:col>
      <xdr:colOff>247650</xdr:colOff>
      <xdr:row>53</xdr:row>
      <xdr:rowOff>800100</xdr:rowOff>
    </xdr:to>
    <xdr:sp macro="" textlink="">
      <xdr:nvSpPr>
        <xdr:cNvPr id="155666" name="PIJL-LINKS en -RECHTS 1006"/>
        <xdr:cNvSpPr>
          <a:spLocks noChangeArrowheads="1"/>
        </xdr:cNvSpPr>
      </xdr:nvSpPr>
      <xdr:spPr bwMode="auto">
        <a:xfrm rot="-5400000">
          <a:off x="10863263" y="22140862"/>
          <a:ext cx="647700" cy="180975"/>
        </a:xfrm>
        <a:prstGeom prst="leftRightArrow">
          <a:avLst>
            <a:gd name="adj1" fmla="val 50000"/>
            <a:gd name="adj2" fmla="val 49514"/>
          </a:avLst>
        </a:prstGeom>
        <a:solidFill>
          <a:srgbClr val="000000"/>
        </a:solidFill>
        <a:ln w="25400" algn="ctr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54</xdr:row>
      <xdr:rowOff>0</xdr:rowOff>
    </xdr:from>
    <xdr:to>
      <xdr:col>5</xdr:col>
      <xdr:colOff>247650</xdr:colOff>
      <xdr:row>54</xdr:row>
      <xdr:rowOff>0</xdr:rowOff>
    </xdr:to>
    <xdr:sp macro="" textlink="">
      <xdr:nvSpPr>
        <xdr:cNvPr id="155667" name="PIJL-LINKS en -RECHTS 1007"/>
        <xdr:cNvSpPr>
          <a:spLocks noChangeArrowheads="1"/>
        </xdr:cNvSpPr>
      </xdr:nvSpPr>
      <xdr:spPr bwMode="auto">
        <a:xfrm rot="-5400000">
          <a:off x="12482513" y="23407687"/>
          <a:ext cx="0" cy="180975"/>
        </a:xfrm>
        <a:prstGeom prst="leftRightArrow">
          <a:avLst>
            <a:gd name="adj1" fmla="val 50000"/>
            <a:gd name="adj2" fmla="val -2147483648"/>
          </a:avLst>
        </a:prstGeom>
        <a:solidFill>
          <a:srgbClr val="000000"/>
        </a:solidFill>
        <a:ln w="25400" algn="ctr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53</xdr:row>
      <xdr:rowOff>400050</xdr:rowOff>
    </xdr:from>
    <xdr:to>
      <xdr:col>3</xdr:col>
      <xdr:colOff>0</xdr:colOff>
      <xdr:row>53</xdr:row>
      <xdr:rowOff>619125</xdr:rowOff>
    </xdr:to>
    <xdr:sp macro="" textlink="">
      <xdr:nvSpPr>
        <xdr:cNvPr id="155668" name="PIJL-LINKS en -RECHTS 1008"/>
        <xdr:cNvSpPr>
          <a:spLocks noChangeArrowheads="1"/>
        </xdr:cNvSpPr>
      </xdr:nvSpPr>
      <xdr:spPr bwMode="auto">
        <a:xfrm>
          <a:off x="9344025" y="23298150"/>
          <a:ext cx="0" cy="200025"/>
        </a:xfrm>
        <a:prstGeom prst="leftRightArrow">
          <a:avLst>
            <a:gd name="adj1" fmla="val 50000"/>
            <a:gd name="adj2" fmla="val -2147483648"/>
          </a:avLst>
        </a:prstGeom>
        <a:solidFill>
          <a:srgbClr val="000000"/>
        </a:solidFill>
        <a:ln w="25400" algn="ctr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990600</xdr:colOff>
      <xdr:row>4</xdr:row>
      <xdr:rowOff>106135</xdr:rowOff>
    </xdr:from>
    <xdr:to>
      <xdr:col>1</xdr:col>
      <xdr:colOff>2364372</xdr:colOff>
      <xdr:row>7</xdr:row>
      <xdr:rowOff>222278</xdr:rowOff>
    </xdr:to>
    <xdr:pic>
      <xdr:nvPicPr>
        <xdr:cNvPr id="155672" name="Afbeelding 948" descr="LAKQ U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1529" y="2011135"/>
          <a:ext cx="1373772" cy="13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1314450</xdr:colOff>
      <xdr:row>9</xdr:row>
      <xdr:rowOff>64138</xdr:rowOff>
    </xdr:from>
    <xdr:to>
      <xdr:col>1</xdr:col>
      <xdr:colOff>2114550</xdr:colOff>
      <xdr:row>12</xdr:row>
      <xdr:rowOff>281925</xdr:rowOff>
    </xdr:to>
    <xdr:pic>
      <xdr:nvPicPr>
        <xdr:cNvPr id="155673" name="Afbeelding 1025" descr="LEKQ U4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45379" y="4486459"/>
          <a:ext cx="800100" cy="115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1066799</xdr:colOff>
      <xdr:row>14</xdr:row>
      <xdr:rowOff>111579</xdr:rowOff>
    </xdr:from>
    <xdr:to>
      <xdr:col>1</xdr:col>
      <xdr:colOff>2448939</xdr:colOff>
      <xdr:row>17</xdr:row>
      <xdr:rowOff>252687</xdr:rowOff>
    </xdr:to>
    <xdr:pic>
      <xdr:nvPicPr>
        <xdr:cNvPr id="155674" name="Afbeelding 1029" descr="LAKZ P1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97728" y="6738258"/>
          <a:ext cx="1382140" cy="108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775606</xdr:colOff>
      <xdr:row>20</xdr:row>
      <xdr:rowOff>142874</xdr:rowOff>
    </xdr:from>
    <xdr:to>
      <xdr:col>1</xdr:col>
      <xdr:colOff>1466849</xdr:colOff>
      <xdr:row>24</xdr:row>
      <xdr:rowOff>80121</xdr:rowOff>
    </xdr:to>
    <xdr:pic>
      <xdr:nvPicPr>
        <xdr:cNvPr id="155675" name="Afbeelding 1042" descr="HYBRID 6060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98089" y="8991271"/>
          <a:ext cx="691243" cy="11984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1295400</xdr:colOff>
      <xdr:row>30</xdr:row>
      <xdr:rowOff>103414</xdr:rowOff>
    </xdr:from>
    <xdr:to>
      <xdr:col>1</xdr:col>
      <xdr:colOff>2065643</xdr:colOff>
      <xdr:row>33</xdr:row>
      <xdr:rowOff>219557</xdr:rowOff>
    </xdr:to>
    <xdr:pic>
      <xdr:nvPicPr>
        <xdr:cNvPr id="155676" name="Afbeelding 1088" descr="LSKZ U2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826329" y="12377057"/>
          <a:ext cx="770243" cy="13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923925</xdr:colOff>
      <xdr:row>48</xdr:row>
      <xdr:rowOff>76200</xdr:rowOff>
    </xdr:from>
    <xdr:to>
      <xdr:col>1</xdr:col>
      <xdr:colOff>1657350</xdr:colOff>
      <xdr:row>48</xdr:row>
      <xdr:rowOff>571500</xdr:rowOff>
    </xdr:to>
    <xdr:pic>
      <xdr:nvPicPr>
        <xdr:cNvPr id="155677" name="Afbeelding 1117" descr="G90Z-M20.pn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71950" y="20488275"/>
          <a:ext cx="7334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1123950</xdr:colOff>
      <xdr:row>45</xdr:row>
      <xdr:rowOff>76200</xdr:rowOff>
    </xdr:from>
    <xdr:to>
      <xdr:col>1</xdr:col>
      <xdr:colOff>1600200</xdr:colOff>
      <xdr:row>46</xdr:row>
      <xdr:rowOff>209549</xdr:rowOff>
    </xdr:to>
    <xdr:pic>
      <xdr:nvPicPr>
        <xdr:cNvPr id="155678" name="Afbeelding 1118" descr="GBMU-4D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371975" y="19859625"/>
          <a:ext cx="4762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1238250</xdr:colOff>
      <xdr:row>51</xdr:row>
      <xdr:rowOff>95250</xdr:rowOff>
    </xdr:from>
    <xdr:to>
      <xdr:col>1</xdr:col>
      <xdr:colOff>1622937</xdr:colOff>
      <xdr:row>51</xdr:row>
      <xdr:rowOff>887250</xdr:rowOff>
    </xdr:to>
    <xdr:pic>
      <xdr:nvPicPr>
        <xdr:cNvPr id="155680" name="Afbeelding 1184" descr="VSF.pn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771900" y="20326350"/>
          <a:ext cx="384687" cy="79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1200150</xdr:colOff>
      <xdr:row>54</xdr:row>
      <xdr:rowOff>57150</xdr:rowOff>
    </xdr:from>
    <xdr:to>
      <xdr:col>1</xdr:col>
      <xdr:colOff>1943100</xdr:colOff>
      <xdr:row>54</xdr:row>
      <xdr:rowOff>609600</xdr:rowOff>
    </xdr:to>
    <xdr:pic>
      <xdr:nvPicPr>
        <xdr:cNvPr id="155681" name="Afbeelding 1190" descr="SAMSON.pn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733800" y="23145750"/>
          <a:ext cx="7429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55683" name="Rectangle 1109"/>
        <xdr:cNvSpPr>
          <a:spLocks noChangeArrowheads="1"/>
        </xdr:cNvSpPr>
      </xdr:nvSpPr>
      <xdr:spPr bwMode="auto">
        <a:xfrm flipH="1">
          <a:off x="9344025" y="14068425"/>
          <a:ext cx="0" cy="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914400</xdr:colOff>
      <xdr:row>57</xdr:row>
      <xdr:rowOff>57150</xdr:rowOff>
    </xdr:from>
    <xdr:to>
      <xdr:col>1</xdr:col>
      <xdr:colOff>2114550</xdr:colOff>
      <xdr:row>57</xdr:row>
      <xdr:rowOff>849150</xdr:rowOff>
    </xdr:to>
    <xdr:pic>
      <xdr:nvPicPr>
        <xdr:cNvPr id="155684" name="Afbeelding 1276" descr="HOOKIN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448050" y="25355550"/>
          <a:ext cx="1200150" cy="79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1162053</xdr:colOff>
      <xdr:row>52</xdr:row>
      <xdr:rowOff>76200</xdr:rowOff>
    </xdr:from>
    <xdr:to>
      <xdr:col>1</xdr:col>
      <xdr:colOff>1771288</xdr:colOff>
      <xdr:row>52</xdr:row>
      <xdr:rowOff>868200</xdr:rowOff>
    </xdr:to>
    <xdr:pic>
      <xdr:nvPicPr>
        <xdr:cNvPr id="155685" name="Afbeelding 1406"/>
        <xdr:cNvPicPr>
          <a:picLocks noChangeAspect="1"/>
        </xdr:cNvPicPr>
      </xdr:nvPicPr>
      <xdr:blipFill rotWithShape="1">
        <a:blip xmlns:r="http://schemas.openxmlformats.org/officeDocument/2006/relationships" r:embed="rId11" cstate="print"/>
        <a:srcRect t="-253" b="53825"/>
        <a:stretch/>
      </xdr:blipFill>
      <xdr:spPr bwMode="auto">
        <a:xfrm>
          <a:off x="3695703" y="21259800"/>
          <a:ext cx="609235" cy="79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1076324</xdr:colOff>
      <xdr:row>53</xdr:row>
      <xdr:rowOff>95249</xdr:rowOff>
    </xdr:from>
    <xdr:to>
      <xdr:col>1</xdr:col>
      <xdr:colOff>1868324</xdr:colOff>
      <xdr:row>53</xdr:row>
      <xdr:rowOff>887249</xdr:rowOff>
    </xdr:to>
    <xdr:pic>
      <xdr:nvPicPr>
        <xdr:cNvPr id="15568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609974" y="22231349"/>
          <a:ext cx="792000" cy="79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76200</xdr:colOff>
      <xdr:row>51</xdr:row>
      <xdr:rowOff>209549</xdr:rowOff>
    </xdr:from>
    <xdr:to>
      <xdr:col>4</xdr:col>
      <xdr:colOff>285750</xdr:colOff>
      <xdr:row>51</xdr:row>
      <xdr:rowOff>819149</xdr:rowOff>
    </xdr:to>
    <xdr:sp macro="" textlink="">
      <xdr:nvSpPr>
        <xdr:cNvPr id="155687" name="PIJL-OMLAAG 931"/>
        <xdr:cNvSpPr>
          <a:spLocks noChangeArrowheads="1"/>
        </xdr:cNvSpPr>
      </xdr:nvSpPr>
      <xdr:spPr bwMode="auto">
        <a:xfrm>
          <a:off x="9620250" y="20059649"/>
          <a:ext cx="209550" cy="609600"/>
        </a:xfrm>
        <a:prstGeom prst="downArrow">
          <a:avLst>
            <a:gd name="adj1" fmla="val 50000"/>
            <a:gd name="adj2" fmla="val 47044"/>
          </a:avLst>
        </a:prstGeom>
        <a:solidFill>
          <a:srgbClr val="000000"/>
        </a:solidFill>
        <a:ln w="25400" algn="ctr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9</xdr:row>
      <xdr:rowOff>285750</xdr:rowOff>
    </xdr:from>
    <xdr:to>
      <xdr:col>3</xdr:col>
      <xdr:colOff>0</xdr:colOff>
      <xdr:row>11</xdr:row>
      <xdr:rowOff>228600</xdr:rowOff>
    </xdr:to>
    <xdr:sp macro="" textlink="">
      <xdr:nvSpPr>
        <xdr:cNvPr id="155688" name="Rectangle 1110"/>
        <xdr:cNvSpPr>
          <a:spLocks noChangeArrowheads="1"/>
        </xdr:cNvSpPr>
      </xdr:nvSpPr>
      <xdr:spPr bwMode="auto">
        <a:xfrm>
          <a:off x="9344025" y="6038850"/>
          <a:ext cx="0" cy="628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14</xdr:row>
      <xdr:rowOff>342900</xdr:rowOff>
    </xdr:from>
    <xdr:to>
      <xdr:col>3</xdr:col>
      <xdr:colOff>0</xdr:colOff>
      <xdr:row>16</xdr:row>
      <xdr:rowOff>228600</xdr:rowOff>
    </xdr:to>
    <xdr:sp macro="" textlink="">
      <xdr:nvSpPr>
        <xdr:cNvPr id="155689" name="Rectangle 1110"/>
        <xdr:cNvSpPr>
          <a:spLocks noChangeArrowheads="1"/>
        </xdr:cNvSpPr>
      </xdr:nvSpPr>
      <xdr:spPr bwMode="auto">
        <a:xfrm>
          <a:off x="9344025" y="8258175"/>
          <a:ext cx="0" cy="5905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32</xdr:row>
      <xdr:rowOff>314325</xdr:rowOff>
    </xdr:to>
    <xdr:sp macro="" textlink="">
      <xdr:nvSpPr>
        <xdr:cNvPr id="155690" name="Rectangle 1110"/>
        <xdr:cNvSpPr>
          <a:spLocks noChangeArrowheads="1"/>
        </xdr:cNvSpPr>
      </xdr:nvSpPr>
      <xdr:spPr bwMode="auto">
        <a:xfrm>
          <a:off x="9344025" y="12963525"/>
          <a:ext cx="0" cy="628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55691" name="Rectangle 1110"/>
        <xdr:cNvSpPr>
          <a:spLocks noChangeArrowheads="1"/>
        </xdr:cNvSpPr>
      </xdr:nvSpPr>
      <xdr:spPr bwMode="auto">
        <a:xfrm>
          <a:off x="9344025" y="140684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55692" name="Rectangle 1110"/>
        <xdr:cNvSpPr>
          <a:spLocks noChangeArrowheads="1"/>
        </xdr:cNvSpPr>
      </xdr:nvSpPr>
      <xdr:spPr bwMode="auto">
        <a:xfrm>
          <a:off x="9344025" y="140684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55693" name="Rectangle 1110"/>
        <xdr:cNvSpPr>
          <a:spLocks noChangeArrowheads="1"/>
        </xdr:cNvSpPr>
      </xdr:nvSpPr>
      <xdr:spPr bwMode="auto">
        <a:xfrm>
          <a:off x="9344025" y="140684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51</xdr:row>
      <xdr:rowOff>57150</xdr:rowOff>
    </xdr:from>
    <xdr:to>
      <xdr:col>3</xdr:col>
      <xdr:colOff>0</xdr:colOff>
      <xdr:row>51</xdr:row>
      <xdr:rowOff>504825</xdr:rowOff>
    </xdr:to>
    <xdr:sp macro="" textlink="">
      <xdr:nvSpPr>
        <xdr:cNvPr id="155694" name="Rectangle 1110"/>
        <xdr:cNvSpPr>
          <a:spLocks noChangeArrowheads="1"/>
        </xdr:cNvSpPr>
      </xdr:nvSpPr>
      <xdr:spPr bwMode="auto">
        <a:xfrm>
          <a:off x="9344025" y="21755100"/>
          <a:ext cx="0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55695" name="Rectangle 1110"/>
        <xdr:cNvSpPr>
          <a:spLocks noChangeArrowheads="1"/>
        </xdr:cNvSpPr>
      </xdr:nvSpPr>
      <xdr:spPr bwMode="auto">
        <a:xfrm>
          <a:off x="9344025" y="140684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55696" name="Rectangle 1110"/>
        <xdr:cNvSpPr>
          <a:spLocks noChangeArrowheads="1"/>
        </xdr:cNvSpPr>
      </xdr:nvSpPr>
      <xdr:spPr bwMode="auto">
        <a:xfrm>
          <a:off x="9344025" y="140684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52</xdr:row>
      <xdr:rowOff>0</xdr:rowOff>
    </xdr:from>
    <xdr:to>
      <xdr:col>3</xdr:col>
      <xdr:colOff>0</xdr:colOff>
      <xdr:row>52</xdr:row>
      <xdr:rowOff>0</xdr:rowOff>
    </xdr:to>
    <xdr:sp macro="" textlink="">
      <xdr:nvSpPr>
        <xdr:cNvPr id="155697" name="Rectangle 1110"/>
        <xdr:cNvSpPr>
          <a:spLocks noChangeArrowheads="1"/>
        </xdr:cNvSpPr>
      </xdr:nvSpPr>
      <xdr:spPr bwMode="auto">
        <a:xfrm>
          <a:off x="9344025" y="222980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52</xdr:row>
      <xdr:rowOff>76200</xdr:rowOff>
    </xdr:from>
    <xdr:to>
      <xdr:col>3</xdr:col>
      <xdr:colOff>0</xdr:colOff>
      <xdr:row>52</xdr:row>
      <xdr:rowOff>514350</xdr:rowOff>
    </xdr:to>
    <xdr:sp macro="" textlink="">
      <xdr:nvSpPr>
        <xdr:cNvPr id="155698" name="Rectangle 1110"/>
        <xdr:cNvSpPr>
          <a:spLocks noChangeArrowheads="1"/>
        </xdr:cNvSpPr>
      </xdr:nvSpPr>
      <xdr:spPr bwMode="auto">
        <a:xfrm>
          <a:off x="9344025" y="22374225"/>
          <a:ext cx="0" cy="4381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53</xdr:row>
      <xdr:rowOff>228600</xdr:rowOff>
    </xdr:from>
    <xdr:to>
      <xdr:col>3</xdr:col>
      <xdr:colOff>0</xdr:colOff>
      <xdr:row>53</xdr:row>
      <xdr:rowOff>781050</xdr:rowOff>
    </xdr:to>
    <xdr:sp macro="" textlink="">
      <xdr:nvSpPr>
        <xdr:cNvPr id="155699" name="Rectangle 1110"/>
        <xdr:cNvSpPr>
          <a:spLocks noChangeArrowheads="1"/>
        </xdr:cNvSpPr>
      </xdr:nvSpPr>
      <xdr:spPr bwMode="auto">
        <a:xfrm>
          <a:off x="9344025" y="23126700"/>
          <a:ext cx="0" cy="371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54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155700" name="Rectangle 1110"/>
        <xdr:cNvSpPr>
          <a:spLocks noChangeArrowheads="1"/>
        </xdr:cNvSpPr>
      </xdr:nvSpPr>
      <xdr:spPr bwMode="auto">
        <a:xfrm>
          <a:off x="9344025" y="23498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54</xdr:row>
      <xdr:rowOff>57150</xdr:rowOff>
    </xdr:from>
    <xdr:to>
      <xdr:col>3</xdr:col>
      <xdr:colOff>0</xdr:colOff>
      <xdr:row>54</xdr:row>
      <xdr:rowOff>609600</xdr:rowOff>
    </xdr:to>
    <xdr:sp macro="" textlink="">
      <xdr:nvSpPr>
        <xdr:cNvPr id="155701" name="Rectangle 1110"/>
        <xdr:cNvSpPr>
          <a:spLocks noChangeArrowheads="1"/>
        </xdr:cNvSpPr>
      </xdr:nvSpPr>
      <xdr:spPr bwMode="auto">
        <a:xfrm>
          <a:off x="9344025" y="23555325"/>
          <a:ext cx="0" cy="3524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56</xdr:row>
      <xdr:rowOff>57150</xdr:rowOff>
    </xdr:from>
    <xdr:to>
      <xdr:col>3</xdr:col>
      <xdr:colOff>0</xdr:colOff>
      <xdr:row>56</xdr:row>
      <xdr:rowOff>609600</xdr:rowOff>
    </xdr:to>
    <xdr:sp macro="" textlink="">
      <xdr:nvSpPr>
        <xdr:cNvPr id="155702" name="Rectangle 1110"/>
        <xdr:cNvSpPr>
          <a:spLocks noChangeArrowheads="1"/>
        </xdr:cNvSpPr>
      </xdr:nvSpPr>
      <xdr:spPr bwMode="auto">
        <a:xfrm>
          <a:off x="9344025" y="24793575"/>
          <a:ext cx="0" cy="552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57</xdr:row>
      <xdr:rowOff>114300</xdr:rowOff>
    </xdr:from>
    <xdr:to>
      <xdr:col>3</xdr:col>
      <xdr:colOff>0</xdr:colOff>
      <xdr:row>57</xdr:row>
      <xdr:rowOff>666750</xdr:rowOff>
    </xdr:to>
    <xdr:sp macro="" textlink="">
      <xdr:nvSpPr>
        <xdr:cNvPr id="155703" name="Rectangle 1110"/>
        <xdr:cNvSpPr>
          <a:spLocks noChangeArrowheads="1"/>
        </xdr:cNvSpPr>
      </xdr:nvSpPr>
      <xdr:spPr bwMode="auto">
        <a:xfrm>
          <a:off x="9344025" y="25822275"/>
          <a:ext cx="0" cy="552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1123950</xdr:colOff>
      <xdr:row>49</xdr:row>
      <xdr:rowOff>38100</xdr:rowOff>
    </xdr:from>
    <xdr:to>
      <xdr:col>1</xdr:col>
      <xdr:colOff>1495425</xdr:colOff>
      <xdr:row>50</xdr:row>
      <xdr:rowOff>266700</xdr:rowOff>
    </xdr:to>
    <xdr:pic>
      <xdr:nvPicPr>
        <xdr:cNvPr id="155705" name="Afbeelding 1331" descr="WALLPLATES_EN_TOEBEHOREN.pn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-4410" t="14403" r="-8035" b="49590"/>
        <a:stretch>
          <a:fillRect/>
        </a:stretch>
      </xdr:blipFill>
      <xdr:spPr bwMode="auto">
        <a:xfrm>
          <a:off x="4371975" y="21097875"/>
          <a:ext cx="3714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1104900</xdr:colOff>
      <xdr:row>43</xdr:row>
      <xdr:rowOff>57150</xdr:rowOff>
    </xdr:from>
    <xdr:to>
      <xdr:col>1</xdr:col>
      <xdr:colOff>1752600</xdr:colOff>
      <xdr:row>45</xdr:row>
      <xdr:rowOff>1</xdr:rowOff>
    </xdr:to>
    <xdr:pic>
      <xdr:nvPicPr>
        <xdr:cNvPr id="155706" name="Picture 1261" descr="GBMU4DSHIELD1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352925" y="19145250"/>
          <a:ext cx="6477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1284514</xdr:colOff>
      <xdr:row>8</xdr:row>
      <xdr:rowOff>52009</xdr:rowOff>
    </xdr:from>
    <xdr:to>
      <xdr:col>1</xdr:col>
      <xdr:colOff>2161220</xdr:colOff>
      <xdr:row>8</xdr:row>
      <xdr:rowOff>880009</xdr:rowOff>
    </xdr:to>
    <xdr:pic>
      <xdr:nvPicPr>
        <xdr:cNvPr id="155707" name="Afbeelding 1033" descr="SAKL QF.pn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815443" y="3521830"/>
          <a:ext cx="876706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1371600</xdr:colOff>
      <xdr:row>18</xdr:row>
      <xdr:rowOff>76199</xdr:rowOff>
    </xdr:from>
    <xdr:to>
      <xdr:col>1</xdr:col>
      <xdr:colOff>2162525</xdr:colOff>
      <xdr:row>18</xdr:row>
      <xdr:rowOff>904199</xdr:rowOff>
    </xdr:to>
    <xdr:pic>
      <xdr:nvPicPr>
        <xdr:cNvPr id="155708" name="Afbeelding 1033" descr="SAKL QF.pn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902529" y="7954735"/>
          <a:ext cx="790925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1874181</xdr:colOff>
      <xdr:row>20</xdr:row>
      <xdr:rowOff>276225</xdr:rowOff>
    </xdr:from>
    <xdr:to>
      <xdr:col>1</xdr:col>
      <xdr:colOff>2788581</xdr:colOff>
      <xdr:row>24</xdr:row>
      <xdr:rowOff>139513</xdr:rowOff>
    </xdr:to>
    <xdr:pic>
      <xdr:nvPicPr>
        <xdr:cNvPr id="155709" name="Afbeelding 1082" descr="SHKM.pn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396664" y="9124622"/>
          <a:ext cx="914400" cy="1124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1406979</xdr:colOff>
      <xdr:row>34</xdr:row>
      <xdr:rowOff>2722</xdr:rowOff>
    </xdr:from>
    <xdr:to>
      <xdr:col>1</xdr:col>
      <xdr:colOff>1549854</xdr:colOff>
      <xdr:row>35</xdr:row>
      <xdr:rowOff>2721</xdr:rowOff>
    </xdr:to>
    <xdr:pic>
      <xdr:nvPicPr>
        <xdr:cNvPr id="155710" name="Afbeelding 2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937908" y="13528222"/>
          <a:ext cx="142875" cy="625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1711779</xdr:colOff>
      <xdr:row>35</xdr:row>
      <xdr:rowOff>43543</xdr:rowOff>
    </xdr:from>
    <xdr:to>
      <xdr:col>1</xdr:col>
      <xdr:colOff>1883229</xdr:colOff>
      <xdr:row>35</xdr:row>
      <xdr:rowOff>595993</xdr:rowOff>
    </xdr:to>
    <xdr:pic>
      <xdr:nvPicPr>
        <xdr:cNvPr id="155711" name="Afbeelding 1386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242708" y="14194972"/>
          <a:ext cx="1714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8</xdr:row>
      <xdr:rowOff>95250</xdr:rowOff>
    </xdr:from>
    <xdr:to>
      <xdr:col>3</xdr:col>
      <xdr:colOff>0</xdr:colOff>
      <xdr:row>8</xdr:row>
      <xdr:rowOff>495300</xdr:rowOff>
    </xdr:to>
    <xdr:sp macro="" textlink="">
      <xdr:nvSpPr>
        <xdr:cNvPr id="155712" name="Rectangle 73"/>
        <xdr:cNvSpPr>
          <a:spLocks noChangeArrowheads="1"/>
        </xdr:cNvSpPr>
      </xdr:nvSpPr>
      <xdr:spPr bwMode="auto">
        <a:xfrm>
          <a:off x="9344025" y="4895850"/>
          <a:ext cx="0" cy="4000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1276351</xdr:colOff>
      <xdr:row>13</xdr:row>
      <xdr:rowOff>65313</xdr:rowOff>
    </xdr:from>
    <xdr:to>
      <xdr:col>1</xdr:col>
      <xdr:colOff>2424868</xdr:colOff>
      <xdr:row>13</xdr:row>
      <xdr:rowOff>893313</xdr:rowOff>
    </xdr:to>
    <xdr:pic>
      <xdr:nvPicPr>
        <xdr:cNvPr id="155713" name="Afbeelding 1033" descr="SAKL QF.pn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807280" y="5739492"/>
          <a:ext cx="1148517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13</xdr:row>
      <xdr:rowOff>95250</xdr:rowOff>
    </xdr:from>
    <xdr:to>
      <xdr:col>3</xdr:col>
      <xdr:colOff>0</xdr:colOff>
      <xdr:row>13</xdr:row>
      <xdr:rowOff>552450</xdr:rowOff>
    </xdr:to>
    <xdr:sp macro="" textlink="">
      <xdr:nvSpPr>
        <xdr:cNvPr id="155714" name="Rectangle 75"/>
        <xdr:cNvSpPr>
          <a:spLocks noChangeArrowheads="1"/>
        </xdr:cNvSpPr>
      </xdr:nvSpPr>
      <xdr:spPr bwMode="auto">
        <a:xfrm>
          <a:off x="9344025" y="7343775"/>
          <a:ext cx="0" cy="45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34</xdr:row>
      <xdr:rowOff>95250</xdr:rowOff>
    </xdr:from>
    <xdr:to>
      <xdr:col>3</xdr:col>
      <xdr:colOff>0</xdr:colOff>
      <xdr:row>34</xdr:row>
      <xdr:rowOff>723900</xdr:rowOff>
    </xdr:to>
    <xdr:sp macro="" textlink="">
      <xdr:nvSpPr>
        <xdr:cNvPr id="155715" name="Rectangle 77"/>
        <xdr:cNvSpPr>
          <a:spLocks noChangeArrowheads="1"/>
        </xdr:cNvSpPr>
      </xdr:nvSpPr>
      <xdr:spPr bwMode="auto">
        <a:xfrm>
          <a:off x="9344025" y="14163675"/>
          <a:ext cx="0" cy="628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35</xdr:row>
      <xdr:rowOff>95250</xdr:rowOff>
    </xdr:from>
    <xdr:to>
      <xdr:col>3</xdr:col>
      <xdr:colOff>0</xdr:colOff>
      <xdr:row>35</xdr:row>
      <xdr:rowOff>733425</xdr:rowOff>
    </xdr:to>
    <xdr:sp macro="" textlink="">
      <xdr:nvSpPr>
        <xdr:cNvPr id="155716" name="Rectangle 78"/>
        <xdr:cNvSpPr>
          <a:spLocks noChangeArrowheads="1"/>
        </xdr:cNvSpPr>
      </xdr:nvSpPr>
      <xdr:spPr bwMode="auto">
        <a:xfrm flipH="1">
          <a:off x="9344025" y="14897100"/>
          <a:ext cx="0" cy="6191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36</xdr:row>
      <xdr:rowOff>247650</xdr:rowOff>
    </xdr:from>
    <xdr:to>
      <xdr:col>3</xdr:col>
      <xdr:colOff>0</xdr:colOff>
      <xdr:row>38</xdr:row>
      <xdr:rowOff>0</xdr:rowOff>
    </xdr:to>
    <xdr:sp macro="" textlink="">
      <xdr:nvSpPr>
        <xdr:cNvPr id="155717" name="Rectangle 1110"/>
        <xdr:cNvSpPr>
          <a:spLocks noChangeArrowheads="1"/>
        </xdr:cNvSpPr>
      </xdr:nvSpPr>
      <xdr:spPr bwMode="auto">
        <a:xfrm>
          <a:off x="9344025" y="15763875"/>
          <a:ext cx="0" cy="514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1028700</xdr:colOff>
      <xdr:row>41</xdr:row>
      <xdr:rowOff>57150</xdr:rowOff>
    </xdr:from>
    <xdr:to>
      <xdr:col>1</xdr:col>
      <xdr:colOff>1988700</xdr:colOff>
      <xdr:row>41</xdr:row>
      <xdr:rowOff>921150</xdr:rowOff>
    </xdr:to>
    <xdr:pic>
      <xdr:nvPicPr>
        <xdr:cNvPr id="15571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559629" y="17025257"/>
          <a:ext cx="960000" cy="86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41</xdr:row>
      <xdr:rowOff>190500</xdr:rowOff>
    </xdr:from>
    <xdr:to>
      <xdr:col>3</xdr:col>
      <xdr:colOff>0</xdr:colOff>
      <xdr:row>42</xdr:row>
      <xdr:rowOff>0</xdr:rowOff>
    </xdr:to>
    <xdr:sp macro="" textlink="">
      <xdr:nvSpPr>
        <xdr:cNvPr id="155719" name="Rectangle 1110"/>
        <xdr:cNvSpPr>
          <a:spLocks noChangeArrowheads="1"/>
        </xdr:cNvSpPr>
      </xdr:nvSpPr>
      <xdr:spPr bwMode="auto">
        <a:xfrm>
          <a:off x="9344025" y="18011775"/>
          <a:ext cx="0" cy="3333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20</xdr:row>
      <xdr:rowOff>190500</xdr:rowOff>
    </xdr:from>
    <xdr:to>
      <xdr:col>3</xdr:col>
      <xdr:colOff>0</xdr:colOff>
      <xdr:row>20</xdr:row>
      <xdr:rowOff>781050</xdr:rowOff>
    </xdr:to>
    <xdr:sp macro="" textlink="">
      <xdr:nvSpPr>
        <xdr:cNvPr id="155720" name="Text Box 81"/>
        <xdr:cNvSpPr txBox="1">
          <a:spLocks noChangeArrowheads="1"/>
        </xdr:cNvSpPr>
      </xdr:nvSpPr>
      <xdr:spPr bwMode="auto">
        <a:xfrm>
          <a:off x="9344025" y="10125075"/>
          <a:ext cx="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990600</xdr:colOff>
      <xdr:row>36</xdr:row>
      <xdr:rowOff>48986</xdr:rowOff>
    </xdr:from>
    <xdr:to>
      <xdr:col>1</xdr:col>
      <xdr:colOff>2279518</xdr:colOff>
      <xdr:row>39</xdr:row>
      <xdr:rowOff>262093</xdr:rowOff>
    </xdr:to>
    <xdr:pic>
      <xdr:nvPicPr>
        <xdr:cNvPr id="155721" name="Afbeelding 1029" descr="LAKZ P1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1529" y="15139307"/>
          <a:ext cx="1288918" cy="115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14350</xdr:colOff>
      <xdr:row>1</xdr:row>
      <xdr:rowOff>380134</xdr:rowOff>
    </xdr:to>
    <xdr:pic>
      <xdr:nvPicPr>
        <xdr:cNvPr id="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7150" y="57150"/>
          <a:ext cx="5470814" cy="1294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1581154</xdr:colOff>
      <xdr:row>56</xdr:row>
      <xdr:rowOff>114269</xdr:rowOff>
    </xdr:from>
    <xdr:to>
      <xdr:col>1</xdr:col>
      <xdr:colOff>2429738</xdr:colOff>
      <xdr:row>56</xdr:row>
      <xdr:rowOff>1122269</xdr:rowOff>
    </xdr:to>
    <xdr:grpSp>
      <xdr:nvGrpSpPr>
        <xdr:cNvPr id="3" name="Группа 2"/>
        <xdr:cNvGrpSpPr>
          <a:grpSpLocks noChangeAspect="1"/>
        </xdr:cNvGrpSpPr>
      </xdr:nvGrpSpPr>
      <xdr:grpSpPr>
        <a:xfrm>
          <a:off x="4109609" y="26178133"/>
          <a:ext cx="848584" cy="1008000"/>
          <a:chOff x="4476755" y="24355425"/>
          <a:chExt cx="375155" cy="792000"/>
        </a:xfrm>
      </xdr:grpSpPr>
      <xdr:pic>
        <xdr:nvPicPr>
          <xdr:cNvPr id="155679" name="Afbeelding 1173" descr="VTC.png"/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BEBA8EAE-BF5A-486C-A8C5-ECC9F3942E4B}">
                <a14:imgProps xmlns="" xmlns:a14="http://schemas.microsoft.com/office/drawing/2010/main">
                  <a14:imgLayer r:embed="rId22">
                    <a14:imgEffect>
                      <a14:sharpenSoften amount="50000"/>
                    </a14:imgEffect>
                  </a14:imgLayer>
                </a14:imgProps>
              </a:ext>
            </a:extLst>
          </a:blip>
          <a:srcRect/>
          <a:stretch>
            <a:fillRect/>
          </a:stretch>
        </xdr:blipFill>
        <xdr:spPr bwMode="auto">
          <a:xfrm>
            <a:off x="4476755" y="24355425"/>
            <a:ext cx="375155" cy="792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9" name="Afbeelding 1173" descr="VTC.png"/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BEBA8EAE-BF5A-486C-A8C5-ECC9F3942E4B}">
                <a14:imgProps xmlns="" xmlns:a14="http://schemas.microsoft.com/office/drawing/2010/main">
                  <a14:imgLayer r:embed="rId22">
                    <a14:imgEffect>
                      <a14:sharpenSoften amount="50000"/>
                    </a14:imgEffect>
                  </a14:imgLayer>
                </a14:imgProps>
              </a:ext>
            </a:extLst>
          </a:blip>
          <a:srcRect/>
          <a:stretch>
            <a:fillRect/>
          </a:stretch>
        </xdr:blipFill>
        <xdr:spPr bwMode="auto">
          <a:xfrm>
            <a:off x="4476755" y="24355425"/>
            <a:ext cx="375155" cy="792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1057276</xdr:colOff>
      <xdr:row>56</xdr:row>
      <xdr:rowOff>214313</xdr:rowOff>
    </xdr:from>
    <xdr:to>
      <xdr:col>1</xdr:col>
      <xdr:colOff>1374321</xdr:colOff>
      <xdr:row>56</xdr:row>
      <xdr:rowOff>1114313</xdr:rowOff>
    </xdr:to>
    <xdr:grpSp>
      <xdr:nvGrpSpPr>
        <xdr:cNvPr id="2" name="Группа 1"/>
        <xdr:cNvGrpSpPr>
          <a:grpSpLocks noChangeAspect="1"/>
        </xdr:cNvGrpSpPr>
      </xdr:nvGrpSpPr>
      <xdr:grpSpPr>
        <a:xfrm>
          <a:off x="3585731" y="26278177"/>
          <a:ext cx="317045" cy="900000"/>
          <a:chOff x="3057526" y="24441150"/>
          <a:chExt cx="171449" cy="695325"/>
        </a:xfrm>
      </xdr:grpSpPr>
      <xdr:pic>
        <xdr:nvPicPr>
          <xdr:cNvPr id="155682" name="Afbeelding 1322" descr="GATESTOP.png"/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3057526" y="24441150"/>
            <a:ext cx="171449" cy="695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0" name="Afbeelding 1322" descr="GATESTOP.png"/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3057526" y="24441150"/>
            <a:ext cx="171449" cy="695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1315998</xdr:colOff>
      <xdr:row>55</xdr:row>
      <xdr:rowOff>65043</xdr:rowOff>
    </xdr:from>
    <xdr:to>
      <xdr:col>1</xdr:col>
      <xdr:colOff>1578568</xdr:colOff>
      <xdr:row>55</xdr:row>
      <xdr:rowOff>878399</xdr:rowOff>
    </xdr:to>
    <xdr:grpSp>
      <xdr:nvGrpSpPr>
        <xdr:cNvPr id="5" name="Группа 4"/>
        <xdr:cNvGrpSpPr/>
      </xdr:nvGrpSpPr>
      <xdr:grpSpPr>
        <a:xfrm>
          <a:off x="3844453" y="25176407"/>
          <a:ext cx="262570" cy="813356"/>
          <a:chOff x="4224786" y="23203467"/>
          <a:chExt cx="262570" cy="813356"/>
        </a:xfrm>
      </xdr:grpSpPr>
      <xdr:pic>
        <xdr:nvPicPr>
          <xdr:cNvPr id="4" name="Рисунок 3"/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24786" y="23203467"/>
            <a:ext cx="262570" cy="813356"/>
          </a:xfrm>
          <a:prstGeom prst="rect">
            <a:avLst/>
          </a:prstGeom>
        </xdr:spPr>
      </xdr:pic>
      <xdr:pic>
        <xdr:nvPicPr>
          <xdr:cNvPr id="78" name="Рисунок 77"/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24786" y="23203467"/>
            <a:ext cx="262570" cy="813356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0</xdr:colOff>
      <xdr:row>25</xdr:row>
      <xdr:rowOff>190500</xdr:rowOff>
    </xdr:from>
    <xdr:to>
      <xdr:col>3</xdr:col>
      <xdr:colOff>0</xdr:colOff>
      <xdr:row>25</xdr:row>
      <xdr:rowOff>781050</xdr:rowOff>
    </xdr:to>
    <xdr:sp macro="" textlink="">
      <xdr:nvSpPr>
        <xdr:cNvPr id="83" name="Text Box 81"/>
        <xdr:cNvSpPr txBox="1">
          <a:spLocks noChangeArrowheads="1"/>
        </xdr:cNvSpPr>
      </xdr:nvSpPr>
      <xdr:spPr bwMode="auto">
        <a:xfrm>
          <a:off x="8041821" y="9021536"/>
          <a:ext cx="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932992</xdr:colOff>
      <xdr:row>25</xdr:row>
      <xdr:rowOff>59121</xdr:rowOff>
    </xdr:from>
    <xdr:to>
      <xdr:col>1</xdr:col>
      <xdr:colOff>1309462</xdr:colOff>
      <xdr:row>29</xdr:row>
      <xdr:rowOff>237879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5475" y="10484069"/>
          <a:ext cx="37647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1844793</xdr:colOff>
      <xdr:row>25</xdr:row>
      <xdr:rowOff>59121</xdr:rowOff>
    </xdr:from>
    <xdr:to>
      <xdr:col>1</xdr:col>
      <xdr:colOff>2817969</xdr:colOff>
      <xdr:row>29</xdr:row>
      <xdr:rowOff>237879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7276" y="10484069"/>
          <a:ext cx="973176" cy="1440000"/>
        </a:xfrm>
        <a:prstGeom prst="rect">
          <a:avLst/>
        </a:prstGeom>
      </xdr:spPr>
    </xdr:pic>
    <xdr:clientData/>
  </xdr:twoCellAnchor>
  <xdr:twoCellAnchor>
    <xdr:from>
      <xdr:col>1</xdr:col>
      <xdr:colOff>508887</xdr:colOff>
      <xdr:row>42</xdr:row>
      <xdr:rowOff>51958</xdr:rowOff>
    </xdr:from>
    <xdr:to>
      <xdr:col>1</xdr:col>
      <xdr:colOff>2535114</xdr:colOff>
      <xdr:row>42</xdr:row>
      <xdr:rowOff>915872</xdr:rowOff>
    </xdr:to>
    <xdr:grpSp>
      <xdr:nvGrpSpPr>
        <xdr:cNvPr id="7" name="Группа 6"/>
        <xdr:cNvGrpSpPr/>
      </xdr:nvGrpSpPr>
      <xdr:grpSpPr>
        <a:xfrm>
          <a:off x="3037342" y="17612594"/>
          <a:ext cx="2026227" cy="863914"/>
          <a:chOff x="3036675" y="17724496"/>
          <a:chExt cx="2026227" cy="863914"/>
        </a:xfrm>
      </xdr:grpSpPr>
      <xdr:pic>
        <xdr:nvPicPr>
          <xdr:cNvPr id="6" name="Рисунок 5"/>
          <xdr:cNvPicPr>
            <a:picLocks noChangeAspect="1"/>
          </xdr:cNvPicPr>
        </xdr:nvPicPr>
        <xdr:blipFill>
          <a:blip xmlns:r="http://schemas.openxmlformats.org/officeDocument/2006/relationships" r:embed="rId27" cstate="screen">
            <a:extLst>
              <a:ext uri="{28A0092B-C50C-407E-A947-70E740481C1C}">
                <a14:useLocalDpi xmlns=""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3036675" y="17724496"/>
            <a:ext cx="2026227" cy="863914"/>
          </a:xfrm>
          <a:prstGeom prst="rect">
            <a:avLst/>
          </a:prstGeom>
        </xdr:spPr>
      </xdr:pic>
      <xdr:pic>
        <xdr:nvPicPr>
          <xdr:cNvPr id="84" name="Рисунок 83"/>
          <xdr:cNvPicPr>
            <a:picLocks noChangeAspect="1"/>
          </xdr:cNvPicPr>
        </xdr:nvPicPr>
        <xdr:blipFill>
          <a:blip xmlns:r="http://schemas.openxmlformats.org/officeDocument/2006/relationships" r:embed="rId27" cstate="screen">
            <a:extLst>
              <a:ext uri="{28A0092B-C50C-407E-A947-70E740481C1C}">
                <a14:useLocalDpi xmlns=""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3036675" y="17724496"/>
            <a:ext cx="2026227" cy="863914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917855</xdr:colOff>
      <xdr:row>47</xdr:row>
      <xdr:rowOff>103908</xdr:rowOff>
    </xdr:from>
    <xdr:to>
      <xdr:col>1</xdr:col>
      <xdr:colOff>1713136</xdr:colOff>
      <xdr:row>47</xdr:row>
      <xdr:rowOff>550308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3446310" y="19863953"/>
          <a:ext cx="795281" cy="446400"/>
        </a:xfrm>
        <a:prstGeom prst="rect">
          <a:avLst/>
        </a:prstGeom>
      </xdr:spPr>
    </xdr:pic>
    <xdr:clientData/>
  </xdr:twoCellAnchor>
  <xdr:twoCellAnchor>
    <xdr:from>
      <xdr:col>0</xdr:col>
      <xdr:colOff>484907</xdr:colOff>
      <xdr:row>47</xdr:row>
      <xdr:rowOff>17318</xdr:rowOff>
    </xdr:from>
    <xdr:to>
      <xdr:col>0</xdr:col>
      <xdr:colOff>2389906</xdr:colOff>
      <xdr:row>48</xdr:row>
      <xdr:rowOff>34636</xdr:rowOff>
    </xdr:to>
    <xdr:sp macro="" textlink="">
      <xdr:nvSpPr>
        <xdr:cNvPr id="86" name="Скругленный прямоугольник 85"/>
        <xdr:cNvSpPr/>
      </xdr:nvSpPr>
      <xdr:spPr>
        <a:xfrm>
          <a:off x="484907" y="19777363"/>
          <a:ext cx="1904999" cy="640773"/>
        </a:xfrm>
        <a:prstGeom prst="round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415634</xdr:colOff>
      <xdr:row>47</xdr:row>
      <xdr:rowOff>51952</xdr:rowOff>
    </xdr:from>
    <xdr:to>
      <xdr:col>0</xdr:col>
      <xdr:colOff>2407225</xdr:colOff>
      <xdr:row>47</xdr:row>
      <xdr:rowOff>606137</xdr:rowOff>
    </xdr:to>
    <xdr:sp macro="" textlink="">
      <xdr:nvSpPr>
        <xdr:cNvPr id="87" name="TextBox 86"/>
        <xdr:cNvSpPr txBox="1"/>
      </xdr:nvSpPr>
      <xdr:spPr>
        <a:xfrm>
          <a:off x="415634" y="19811997"/>
          <a:ext cx="1991591" cy="554185"/>
        </a:xfrm>
        <a:prstGeom prst="rect">
          <a:avLst/>
        </a:prstGeom>
        <a:noFill/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Распродажа </a:t>
          </a:r>
          <a:r>
            <a:rPr lang="ru-RU" sz="1400" b="1">
              <a:solidFill>
                <a:schemeClr val="bg1">
                  <a:lumMod val="85000"/>
                </a:schemeClr>
              </a:solidFill>
              <a:latin typeface="Arial" pitchFamily="34" charset="0"/>
              <a:cs typeface="Arial" pitchFamily="34" charset="0"/>
            </a:rPr>
            <a:t>складских остатков</a:t>
          </a:r>
        </a:p>
      </xdr:txBody>
    </xdr:sp>
    <xdr:clientData/>
  </xdr:twoCellAnchor>
  <xdr:twoCellAnchor>
    <xdr:from>
      <xdr:col>0</xdr:col>
      <xdr:colOff>2389906</xdr:colOff>
      <xdr:row>47</xdr:row>
      <xdr:rowOff>329046</xdr:rowOff>
    </xdr:from>
    <xdr:to>
      <xdr:col>1</xdr:col>
      <xdr:colOff>883225</xdr:colOff>
      <xdr:row>47</xdr:row>
      <xdr:rowOff>329046</xdr:rowOff>
    </xdr:to>
    <xdr:cxnSp macro="">
      <xdr:nvCxnSpPr>
        <xdr:cNvPr id="88" name="Прямая со стрелкой 87"/>
        <xdr:cNvCxnSpPr>
          <a:stCxn id="86" idx="3"/>
        </xdr:cNvCxnSpPr>
      </xdr:nvCxnSpPr>
      <xdr:spPr>
        <a:xfrm flipV="1">
          <a:off x="2389906" y="20089091"/>
          <a:ext cx="1021774" cy="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50801</xdr:colOff>
      <xdr:row>0</xdr:row>
      <xdr:rowOff>326443</xdr:rowOff>
    </xdr:from>
    <xdr:to>
      <xdr:col>11</xdr:col>
      <xdr:colOff>1956955</xdr:colOff>
      <xdr:row>1</xdr:row>
      <xdr:rowOff>415636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6756" y="326443"/>
          <a:ext cx="6374244" cy="11456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51954</xdr:colOff>
      <xdr:row>0</xdr:row>
      <xdr:rowOff>51954</xdr:rowOff>
    </xdr:from>
    <xdr:to>
      <xdr:col>2</xdr:col>
      <xdr:colOff>588818</xdr:colOff>
      <xdr:row>1</xdr:row>
      <xdr:rowOff>388854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54" y="51954"/>
          <a:ext cx="5432714" cy="129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585788</xdr:colOff>
      <xdr:row>19</xdr:row>
      <xdr:rowOff>171450</xdr:rowOff>
    </xdr:from>
    <xdr:to>
      <xdr:col>0</xdr:col>
      <xdr:colOff>1833563</xdr:colOff>
      <xdr:row>31</xdr:row>
      <xdr:rowOff>41564</xdr:rowOff>
    </xdr:to>
    <xdr:pic>
      <xdr:nvPicPr>
        <xdr:cNvPr id="151553" name="Picture 140" descr="Рисунок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788" y="7083879"/>
          <a:ext cx="1247775" cy="3415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706584</xdr:colOff>
      <xdr:row>55</xdr:row>
      <xdr:rowOff>31111</xdr:rowOff>
    </xdr:from>
    <xdr:to>
      <xdr:col>0</xdr:col>
      <xdr:colOff>1756937</xdr:colOff>
      <xdr:row>55</xdr:row>
      <xdr:rowOff>607111</xdr:rowOff>
    </xdr:to>
    <xdr:pic>
      <xdr:nvPicPr>
        <xdr:cNvPr id="15157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584" y="20414611"/>
          <a:ext cx="1050353" cy="576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157597</xdr:colOff>
      <xdr:row>56</xdr:row>
      <xdr:rowOff>57149</xdr:rowOff>
    </xdr:from>
    <xdr:to>
      <xdr:col>0</xdr:col>
      <xdr:colOff>1453597</xdr:colOff>
      <xdr:row>56</xdr:row>
      <xdr:rowOff>777149</xdr:rowOff>
    </xdr:to>
    <xdr:pic>
      <xdr:nvPicPr>
        <xdr:cNvPr id="15157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7597" y="21393149"/>
          <a:ext cx="1296000" cy="720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1651285</xdr:colOff>
      <xdr:row>56</xdr:row>
      <xdr:rowOff>90053</xdr:rowOff>
    </xdr:from>
    <xdr:to>
      <xdr:col>0</xdr:col>
      <xdr:colOff>2415367</xdr:colOff>
      <xdr:row>56</xdr:row>
      <xdr:rowOff>810053</xdr:rowOff>
    </xdr:to>
    <xdr:pic>
      <xdr:nvPicPr>
        <xdr:cNvPr id="151572" name="Рисунок 37" descr="хомут крайний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51285" y="21426053"/>
          <a:ext cx="764082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1719695</xdr:colOff>
      <xdr:row>55</xdr:row>
      <xdr:rowOff>347164</xdr:rowOff>
    </xdr:from>
    <xdr:to>
      <xdr:col>0</xdr:col>
      <xdr:colOff>2413514</xdr:colOff>
      <xdr:row>55</xdr:row>
      <xdr:rowOff>923164</xdr:rowOff>
    </xdr:to>
    <xdr:pic>
      <xdr:nvPicPr>
        <xdr:cNvPr id="151573" name="Рисунок 38" descr="хомут угловой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19695" y="20730664"/>
          <a:ext cx="693819" cy="57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54555</xdr:colOff>
      <xdr:row>55</xdr:row>
      <xdr:rowOff>315558</xdr:rowOff>
    </xdr:from>
    <xdr:to>
      <xdr:col>0</xdr:col>
      <xdr:colOff>642810</xdr:colOff>
      <xdr:row>55</xdr:row>
      <xdr:rowOff>891558</xdr:rowOff>
    </xdr:to>
    <xdr:pic>
      <xdr:nvPicPr>
        <xdr:cNvPr id="151574" name="Рисунок 39" descr="хомут крайний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4555" y="20699058"/>
          <a:ext cx="588255" cy="57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985837</xdr:colOff>
      <xdr:row>52</xdr:row>
      <xdr:rowOff>99579</xdr:rowOff>
    </xdr:from>
    <xdr:to>
      <xdr:col>0</xdr:col>
      <xdr:colOff>1761337</xdr:colOff>
      <xdr:row>52</xdr:row>
      <xdr:rowOff>891579</xdr:rowOff>
    </xdr:to>
    <xdr:pic>
      <xdr:nvPicPr>
        <xdr:cNvPr id="151575" name="Рисунок 24" descr="IMG_3999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85837" y="17625579"/>
          <a:ext cx="775500" cy="79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978044</xdr:colOff>
      <xdr:row>58</xdr:row>
      <xdr:rowOff>66674</xdr:rowOff>
    </xdr:from>
    <xdr:to>
      <xdr:col>0</xdr:col>
      <xdr:colOff>1626044</xdr:colOff>
      <xdr:row>58</xdr:row>
      <xdr:rowOff>858674</xdr:rowOff>
    </xdr:to>
    <xdr:pic>
      <xdr:nvPicPr>
        <xdr:cNvPr id="151579" name="Рисунок 33" descr="крепление рулонной сетки на 51й столб_00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78044" y="23307674"/>
          <a:ext cx="648000" cy="79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545092</xdr:colOff>
      <xdr:row>57</xdr:row>
      <xdr:rowOff>82261</xdr:rowOff>
    </xdr:from>
    <xdr:to>
      <xdr:col>0</xdr:col>
      <xdr:colOff>1947592</xdr:colOff>
      <xdr:row>57</xdr:row>
      <xdr:rowOff>874261</xdr:rowOff>
    </xdr:to>
    <xdr:pic>
      <xdr:nvPicPr>
        <xdr:cNvPr id="151583" name="Рисунок 37" descr="крепление хомут 62х55 для наконечника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45092" y="22370761"/>
          <a:ext cx="1402500" cy="79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52008</xdr:colOff>
      <xdr:row>0</xdr:row>
      <xdr:rowOff>51954</xdr:rowOff>
    </xdr:from>
    <xdr:to>
      <xdr:col>1</xdr:col>
      <xdr:colOff>2944144</xdr:colOff>
      <xdr:row>1</xdr:row>
      <xdr:rowOff>374938</xdr:rowOff>
    </xdr:to>
    <xdr:pic>
      <xdr:nvPicPr>
        <xdr:cNvPr id="1515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2008" y="51954"/>
          <a:ext cx="5437909" cy="1292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2199407</xdr:colOff>
      <xdr:row>23</xdr:row>
      <xdr:rowOff>51956</xdr:rowOff>
    </xdr:from>
    <xdr:to>
      <xdr:col>1</xdr:col>
      <xdr:colOff>4104406</xdr:colOff>
      <xdr:row>26</xdr:row>
      <xdr:rowOff>225137</xdr:rowOff>
    </xdr:to>
    <xdr:sp macro="" textlink="">
      <xdr:nvSpPr>
        <xdr:cNvPr id="2" name="Скругленный прямоугольник 1"/>
        <xdr:cNvSpPr/>
      </xdr:nvSpPr>
      <xdr:spPr>
        <a:xfrm>
          <a:off x="4745180" y="7879774"/>
          <a:ext cx="1904999" cy="1021772"/>
        </a:xfrm>
        <a:prstGeom prst="round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2372587</xdr:colOff>
      <xdr:row>23</xdr:row>
      <xdr:rowOff>103908</xdr:rowOff>
    </xdr:from>
    <xdr:to>
      <xdr:col>1</xdr:col>
      <xdr:colOff>4017817</xdr:colOff>
      <xdr:row>27</xdr:row>
      <xdr:rowOff>-1</xdr:rowOff>
    </xdr:to>
    <xdr:sp macro="" textlink="">
      <xdr:nvSpPr>
        <xdr:cNvPr id="3" name="TextBox 2"/>
        <xdr:cNvSpPr txBox="1"/>
      </xdr:nvSpPr>
      <xdr:spPr>
        <a:xfrm>
          <a:off x="4918360" y="7931726"/>
          <a:ext cx="1645230" cy="1004455"/>
        </a:xfrm>
        <a:prstGeom prst="rect">
          <a:avLst/>
        </a:prstGeom>
        <a:noFill/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8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Распродажа </a:t>
          </a:r>
          <a:r>
            <a:rPr lang="ru-RU" sz="1800" b="1">
              <a:solidFill>
                <a:schemeClr val="bg1">
                  <a:lumMod val="85000"/>
                </a:schemeClr>
              </a:solidFill>
              <a:latin typeface="Arial" pitchFamily="34" charset="0"/>
              <a:cs typeface="Arial" pitchFamily="34" charset="0"/>
            </a:rPr>
            <a:t>складских остатков</a:t>
          </a:r>
        </a:p>
      </xdr:txBody>
    </xdr:sp>
    <xdr:clientData/>
  </xdr:twoCellAnchor>
  <xdr:twoCellAnchor>
    <xdr:from>
      <xdr:col>1</xdr:col>
      <xdr:colOff>4104406</xdr:colOff>
      <xdr:row>24</xdr:row>
      <xdr:rowOff>155867</xdr:rowOff>
    </xdr:from>
    <xdr:to>
      <xdr:col>2</xdr:col>
      <xdr:colOff>606136</xdr:colOff>
      <xdr:row>24</xdr:row>
      <xdr:rowOff>268433</xdr:rowOff>
    </xdr:to>
    <xdr:cxnSp macro="">
      <xdr:nvCxnSpPr>
        <xdr:cNvPr id="5" name="Прямая со стрелкой 4"/>
        <xdr:cNvCxnSpPr>
          <a:stCxn id="2" idx="3"/>
        </xdr:cNvCxnSpPr>
      </xdr:nvCxnSpPr>
      <xdr:spPr>
        <a:xfrm flipV="1">
          <a:off x="6650179" y="8278094"/>
          <a:ext cx="1056412" cy="11256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969675</xdr:colOff>
      <xdr:row>49</xdr:row>
      <xdr:rowOff>89064</xdr:rowOff>
    </xdr:from>
    <xdr:to>
      <xdr:col>0</xdr:col>
      <xdr:colOff>1790662</xdr:colOff>
      <xdr:row>50</xdr:row>
      <xdr:rowOff>396155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75" y="15692746"/>
          <a:ext cx="820987" cy="792000"/>
        </a:xfrm>
        <a:prstGeom prst="rect">
          <a:avLst/>
        </a:prstGeom>
      </xdr:spPr>
    </xdr:pic>
    <xdr:clientData/>
  </xdr:twoCellAnchor>
  <xdr:twoCellAnchor editAs="oneCell">
    <xdr:from>
      <xdr:col>0</xdr:col>
      <xdr:colOff>880357</xdr:colOff>
      <xdr:row>51</xdr:row>
      <xdr:rowOff>89064</xdr:rowOff>
    </xdr:from>
    <xdr:to>
      <xdr:col>0</xdr:col>
      <xdr:colOff>1936357</xdr:colOff>
      <xdr:row>51</xdr:row>
      <xdr:rowOff>881064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880357" y="16662564"/>
          <a:ext cx="1056000" cy="792000"/>
        </a:xfrm>
        <a:prstGeom prst="rect">
          <a:avLst/>
        </a:prstGeom>
      </xdr:spPr>
    </xdr:pic>
    <xdr:clientData/>
  </xdr:twoCellAnchor>
  <xdr:twoCellAnchor editAs="oneCell">
    <xdr:from>
      <xdr:col>0</xdr:col>
      <xdr:colOff>898070</xdr:colOff>
      <xdr:row>54</xdr:row>
      <xdr:rowOff>89064</xdr:rowOff>
    </xdr:from>
    <xdr:to>
      <xdr:col>0</xdr:col>
      <xdr:colOff>1793969</xdr:colOff>
      <xdr:row>54</xdr:row>
      <xdr:rowOff>881064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898070" y="19520064"/>
          <a:ext cx="895899" cy="792000"/>
        </a:xfrm>
        <a:prstGeom prst="rect">
          <a:avLst/>
        </a:prstGeom>
      </xdr:spPr>
    </xdr:pic>
    <xdr:clientData/>
  </xdr:twoCellAnchor>
  <xdr:twoCellAnchor editAs="oneCell">
    <xdr:from>
      <xdr:col>0</xdr:col>
      <xdr:colOff>848582</xdr:colOff>
      <xdr:row>53</xdr:row>
      <xdr:rowOff>86590</xdr:rowOff>
    </xdr:from>
    <xdr:to>
      <xdr:col>0</xdr:col>
      <xdr:colOff>2009431</xdr:colOff>
      <xdr:row>53</xdr:row>
      <xdr:rowOff>878590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848582" y="18565090"/>
          <a:ext cx="1160849" cy="792000"/>
        </a:xfrm>
        <a:prstGeom prst="rect">
          <a:avLst/>
        </a:prstGeom>
      </xdr:spPr>
    </xdr:pic>
    <xdr:clientData/>
  </xdr:twoCellAnchor>
  <xdr:twoCellAnchor editAs="oneCell">
    <xdr:from>
      <xdr:col>0</xdr:col>
      <xdr:colOff>848582</xdr:colOff>
      <xdr:row>59</xdr:row>
      <xdr:rowOff>103908</xdr:rowOff>
    </xdr:from>
    <xdr:to>
      <xdr:col>0</xdr:col>
      <xdr:colOff>1653243</xdr:colOff>
      <xdr:row>59</xdr:row>
      <xdr:rowOff>895908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848582" y="24297408"/>
          <a:ext cx="804661" cy="79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16</xdr:row>
      <xdr:rowOff>57150</xdr:rowOff>
    </xdr:from>
    <xdr:to>
      <xdr:col>0</xdr:col>
      <xdr:colOff>1514475</xdr:colOff>
      <xdr:row>16</xdr:row>
      <xdr:rowOff>581025</xdr:rowOff>
    </xdr:to>
    <xdr:pic>
      <xdr:nvPicPr>
        <xdr:cNvPr id="4" name="Picture 146" descr="Рисунок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" y="26755725"/>
          <a:ext cx="6096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542925</xdr:colOff>
      <xdr:row>18</xdr:row>
      <xdr:rowOff>143740</xdr:rowOff>
    </xdr:from>
    <xdr:to>
      <xdr:col>0</xdr:col>
      <xdr:colOff>1790700</xdr:colOff>
      <xdr:row>19</xdr:row>
      <xdr:rowOff>639906</xdr:rowOff>
    </xdr:to>
    <xdr:pic>
      <xdr:nvPicPr>
        <xdr:cNvPr id="5" name="Picture 155" descr="Рисунок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2925" y="4126922"/>
          <a:ext cx="1247775" cy="1206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1038225</xdr:colOff>
      <xdr:row>17</xdr:row>
      <xdr:rowOff>38100</xdr:rowOff>
    </xdr:from>
    <xdr:to>
      <xdr:col>0</xdr:col>
      <xdr:colOff>1428750</xdr:colOff>
      <xdr:row>17</xdr:row>
      <xdr:rowOff>638175</xdr:rowOff>
    </xdr:to>
    <xdr:pic>
      <xdr:nvPicPr>
        <xdr:cNvPr id="6" name="Picture 156" descr="Рисунок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38225" y="27384375"/>
          <a:ext cx="390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41</xdr:row>
      <xdr:rowOff>152400</xdr:rowOff>
    </xdr:from>
    <xdr:to>
      <xdr:col>0</xdr:col>
      <xdr:colOff>1905000</xdr:colOff>
      <xdr:row>41</xdr:row>
      <xdr:rowOff>771525</xdr:rowOff>
    </xdr:to>
    <xdr:pic>
      <xdr:nvPicPr>
        <xdr:cNvPr id="8" name="Picture 234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4350" y="16459200"/>
          <a:ext cx="139065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40</xdr:row>
      <xdr:rowOff>55418</xdr:rowOff>
    </xdr:from>
    <xdr:to>
      <xdr:col>0</xdr:col>
      <xdr:colOff>1981200</xdr:colOff>
      <xdr:row>40</xdr:row>
      <xdr:rowOff>587086</xdr:rowOff>
    </xdr:to>
    <xdr:pic>
      <xdr:nvPicPr>
        <xdr:cNvPr id="1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0525" y="15790718"/>
          <a:ext cx="1590675" cy="531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159327</xdr:colOff>
      <xdr:row>30</xdr:row>
      <xdr:rowOff>93517</xdr:rowOff>
    </xdr:from>
    <xdr:to>
      <xdr:col>0</xdr:col>
      <xdr:colOff>2387654</xdr:colOff>
      <xdr:row>34</xdr:row>
      <xdr:rowOff>242454</xdr:rowOff>
    </xdr:to>
    <xdr:pic>
      <xdr:nvPicPr>
        <xdr:cNvPr id="12" name="Picture 34" descr="СББ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59327" y="35602717"/>
          <a:ext cx="2228327" cy="1330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35</xdr:row>
      <xdr:rowOff>90054</xdr:rowOff>
    </xdr:from>
    <xdr:to>
      <xdr:col>0</xdr:col>
      <xdr:colOff>1847850</xdr:colOff>
      <xdr:row>37</xdr:row>
      <xdr:rowOff>204354</xdr:rowOff>
    </xdr:to>
    <xdr:pic>
      <xdr:nvPicPr>
        <xdr:cNvPr id="13" name="Picture 35" descr="ПББ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57200" y="37075629"/>
          <a:ext cx="13906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942975</xdr:colOff>
      <xdr:row>15</xdr:row>
      <xdr:rowOff>47625</xdr:rowOff>
    </xdr:from>
    <xdr:to>
      <xdr:col>0</xdr:col>
      <xdr:colOff>1647825</xdr:colOff>
      <xdr:row>15</xdr:row>
      <xdr:rowOff>609600</xdr:rowOff>
    </xdr:to>
    <xdr:pic>
      <xdr:nvPicPr>
        <xdr:cNvPr id="14" name="Picture 37" descr="огр_0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42975" y="3381375"/>
          <a:ext cx="7048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714375</xdr:colOff>
      <xdr:row>38</xdr:row>
      <xdr:rowOff>35503</xdr:rowOff>
    </xdr:from>
    <xdr:to>
      <xdr:col>0</xdr:col>
      <xdr:colOff>1600200</xdr:colOff>
      <xdr:row>39</xdr:row>
      <xdr:rowOff>613930</xdr:rowOff>
    </xdr:to>
    <xdr:pic>
      <xdr:nvPicPr>
        <xdr:cNvPr id="27" name="Picture 36" descr="Струна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14375" y="15408853"/>
          <a:ext cx="885825" cy="883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809624</xdr:colOff>
      <xdr:row>20</xdr:row>
      <xdr:rowOff>47624</xdr:rowOff>
    </xdr:from>
    <xdr:to>
      <xdr:col>0</xdr:col>
      <xdr:colOff>1486046</xdr:colOff>
      <xdr:row>20</xdr:row>
      <xdr:rowOff>659624</xdr:rowOff>
    </xdr:to>
    <xdr:pic>
      <xdr:nvPicPr>
        <xdr:cNvPr id="28" name="Рисунок 36" descr="Основание столба_усиленное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809624" y="5450897"/>
          <a:ext cx="676422" cy="61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34636</xdr:colOff>
      <xdr:row>0</xdr:row>
      <xdr:rowOff>51954</xdr:rowOff>
    </xdr:from>
    <xdr:to>
      <xdr:col>1</xdr:col>
      <xdr:colOff>2926772</xdr:colOff>
      <xdr:row>1</xdr:row>
      <xdr:rowOff>374938</xdr:rowOff>
    </xdr:to>
    <xdr:pic>
      <xdr:nvPicPr>
        <xdr:cNvPr id="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4636" y="51954"/>
          <a:ext cx="5435311" cy="12997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904875</xdr:colOff>
      <xdr:row>29</xdr:row>
      <xdr:rowOff>104775</xdr:rowOff>
    </xdr:from>
    <xdr:to>
      <xdr:col>0</xdr:col>
      <xdr:colOff>1390650</xdr:colOff>
      <xdr:row>29</xdr:row>
      <xdr:rowOff>800100</xdr:rowOff>
    </xdr:to>
    <xdr:pic>
      <xdr:nvPicPr>
        <xdr:cNvPr id="31" name="Рисунок 41" descr="Приспособление для винтовых опор.pn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04875" y="12334875"/>
          <a:ext cx="4857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470187</xdr:colOff>
      <xdr:row>21</xdr:row>
      <xdr:rowOff>191365</xdr:rowOff>
    </xdr:from>
    <xdr:to>
      <xdr:col>0</xdr:col>
      <xdr:colOff>1766187</xdr:colOff>
      <xdr:row>21</xdr:row>
      <xdr:rowOff>479365</xdr:rowOff>
    </xdr:to>
    <xdr:pic>
      <xdr:nvPicPr>
        <xdr:cNvPr id="35" name="Рисунок 1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0187" y="6252729"/>
          <a:ext cx="1296000" cy="28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638175</xdr:colOff>
      <xdr:row>28</xdr:row>
      <xdr:rowOff>57150</xdr:rowOff>
    </xdr:from>
    <xdr:to>
      <xdr:col>0</xdr:col>
      <xdr:colOff>1781175</xdr:colOff>
      <xdr:row>28</xdr:row>
      <xdr:rowOff>552450</xdr:rowOff>
    </xdr:to>
    <xdr:pic>
      <xdr:nvPicPr>
        <xdr:cNvPr id="36" name="Рисунок 2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38175" y="34147125"/>
          <a:ext cx="11430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776719</xdr:colOff>
      <xdr:row>24</xdr:row>
      <xdr:rowOff>161058</xdr:rowOff>
    </xdr:from>
    <xdr:to>
      <xdr:col>0</xdr:col>
      <xdr:colOff>1539071</xdr:colOff>
      <xdr:row>24</xdr:row>
      <xdr:rowOff>485058</xdr:rowOff>
    </xdr:to>
    <xdr:pic>
      <xdr:nvPicPr>
        <xdr:cNvPr id="37" name="Рисунок 3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76719" y="7469331"/>
          <a:ext cx="762352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203488</xdr:colOff>
      <xdr:row>22</xdr:row>
      <xdr:rowOff>129023</xdr:rowOff>
    </xdr:from>
    <xdr:to>
      <xdr:col>0</xdr:col>
      <xdr:colOff>2178702</xdr:colOff>
      <xdr:row>23</xdr:row>
      <xdr:rowOff>169265</xdr:rowOff>
    </xdr:to>
    <xdr:pic>
      <xdr:nvPicPr>
        <xdr:cNvPr id="38" name="Рисунок 4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03488" y="8339573"/>
          <a:ext cx="1975214" cy="478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170584</xdr:colOff>
      <xdr:row>25</xdr:row>
      <xdr:rowOff>103912</xdr:rowOff>
    </xdr:from>
    <xdr:to>
      <xdr:col>0</xdr:col>
      <xdr:colOff>2411023</xdr:colOff>
      <xdr:row>27</xdr:row>
      <xdr:rowOff>199092</xdr:rowOff>
    </xdr:to>
    <xdr:pic>
      <xdr:nvPicPr>
        <xdr:cNvPr id="39" name="Рисунок 5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70584" y="7983685"/>
          <a:ext cx="2240439" cy="68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685800</xdr:colOff>
      <xdr:row>14</xdr:row>
      <xdr:rowOff>104774</xdr:rowOff>
    </xdr:from>
    <xdr:to>
      <xdr:col>0</xdr:col>
      <xdr:colOff>1743075</xdr:colOff>
      <xdr:row>14</xdr:row>
      <xdr:rowOff>552449</xdr:rowOff>
    </xdr:to>
    <xdr:pic>
      <xdr:nvPicPr>
        <xdr:cNvPr id="19" name="Picture 174" descr="Рисунок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85800" y="2790824"/>
          <a:ext cx="10572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885826</xdr:colOff>
      <xdr:row>13</xdr:row>
      <xdr:rowOff>66674</xdr:rowOff>
    </xdr:from>
    <xdr:to>
      <xdr:col>0</xdr:col>
      <xdr:colOff>1571539</xdr:colOff>
      <xdr:row>13</xdr:row>
      <xdr:rowOff>606674</xdr:rowOff>
    </xdr:to>
    <xdr:pic>
      <xdr:nvPicPr>
        <xdr:cNvPr id="20" name="Picture 235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85826" y="2105024"/>
          <a:ext cx="685713" cy="540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121227</xdr:colOff>
      <xdr:row>51</xdr:row>
      <xdr:rowOff>690780</xdr:rowOff>
    </xdr:from>
    <xdr:to>
      <xdr:col>0</xdr:col>
      <xdr:colOff>2281227</xdr:colOff>
      <xdr:row>52</xdr:row>
      <xdr:rowOff>74553</xdr:rowOff>
    </xdr:to>
    <xdr:sp macro="" textlink="">
      <xdr:nvSpPr>
        <xdr:cNvPr id="3" name="Прямоугольник 2">
          <a:hlinkClick xmlns:r="http://schemas.openxmlformats.org/officeDocument/2006/relationships" r:id="rId20"/>
        </xdr:cNvPr>
        <xdr:cNvSpPr/>
      </xdr:nvSpPr>
      <xdr:spPr>
        <a:xfrm>
          <a:off x="121227" y="28555735"/>
          <a:ext cx="2160000" cy="6480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latin typeface="Arial" pitchFamily="34" charset="0"/>
              <a:cs typeface="Arial" pitchFamily="34" charset="0"/>
            </a:rPr>
            <a:t>Список Ветровых Районов</a:t>
          </a:r>
        </a:p>
      </xdr:txBody>
    </xdr:sp>
    <xdr:clientData/>
  </xdr:twoCellAnchor>
  <xdr:twoCellAnchor>
    <xdr:from>
      <xdr:col>0</xdr:col>
      <xdr:colOff>121227</xdr:colOff>
      <xdr:row>50</xdr:row>
      <xdr:rowOff>686055</xdr:rowOff>
    </xdr:from>
    <xdr:to>
      <xdr:col>0</xdr:col>
      <xdr:colOff>2281227</xdr:colOff>
      <xdr:row>51</xdr:row>
      <xdr:rowOff>450827</xdr:rowOff>
    </xdr:to>
    <xdr:sp macro="" textlink="">
      <xdr:nvSpPr>
        <xdr:cNvPr id="25" name="Прямоугольник 24">
          <a:hlinkClick xmlns:r="http://schemas.openxmlformats.org/officeDocument/2006/relationships" r:id="rId21"/>
        </xdr:cNvPr>
        <xdr:cNvSpPr/>
      </xdr:nvSpPr>
      <xdr:spPr>
        <a:xfrm>
          <a:off x="121227" y="27667782"/>
          <a:ext cx="2160000" cy="6480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latin typeface="Arial" pitchFamily="34" charset="0"/>
              <a:cs typeface="Arial" pitchFamily="34" charset="0"/>
            </a:rPr>
            <a:t>Карта Ветровых Районов</a:t>
          </a:r>
        </a:p>
      </xdr:txBody>
    </xdr:sp>
    <xdr:clientData/>
  </xdr:twoCellAnchor>
  <xdr:twoCellAnchor editAs="oneCell">
    <xdr:from>
      <xdr:col>0</xdr:col>
      <xdr:colOff>766762</xdr:colOff>
      <xdr:row>5</xdr:row>
      <xdr:rowOff>70952</xdr:rowOff>
    </xdr:from>
    <xdr:to>
      <xdr:col>0</xdr:col>
      <xdr:colOff>1609429</xdr:colOff>
      <xdr:row>5</xdr:row>
      <xdr:rowOff>646952</xdr:rowOff>
    </xdr:to>
    <xdr:pic>
      <xdr:nvPicPr>
        <xdr:cNvPr id="40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766762" y="3482634"/>
          <a:ext cx="842667" cy="57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966788</xdr:colOff>
      <xdr:row>6</xdr:row>
      <xdr:rowOff>66571</xdr:rowOff>
    </xdr:from>
    <xdr:to>
      <xdr:col>0</xdr:col>
      <xdr:colOff>1294665</xdr:colOff>
      <xdr:row>6</xdr:row>
      <xdr:rowOff>642571</xdr:rowOff>
    </xdr:to>
    <xdr:pic>
      <xdr:nvPicPr>
        <xdr:cNvPr id="41" name="Picture 926" descr="L приваренный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BEBA8EAE-BF5A-486C-A8C5-ECC9F3942E4B}">
              <a14:imgProps xmlns="" xmlns:a14="http://schemas.microsoft.com/office/drawing/2010/main">
                <a14:imgLayer r:embed="rId24">
                  <a14:imgEffect>
                    <a14:brightnessContrast contrast="-4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966788" y="4170980"/>
          <a:ext cx="327877" cy="57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857251</xdr:colOff>
      <xdr:row>7</xdr:row>
      <xdr:rowOff>94382</xdr:rowOff>
    </xdr:from>
    <xdr:to>
      <xdr:col>0</xdr:col>
      <xdr:colOff>1415872</xdr:colOff>
      <xdr:row>7</xdr:row>
      <xdr:rowOff>643907</xdr:rowOff>
    </xdr:to>
    <xdr:pic>
      <xdr:nvPicPr>
        <xdr:cNvPr id="42" name="Picture 927" descr="V приваренный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BEBA8EAE-BF5A-486C-A8C5-ECC9F3942E4B}">
              <a14:imgProps xmlns="" xmlns:a14="http://schemas.microsoft.com/office/drawing/2010/main">
                <a14:imgLayer r:embed="rId26">
                  <a14:imgEffect>
                    <a14:brightnessContrast contrast="-4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857251" y="4891518"/>
          <a:ext cx="558621" cy="54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</xdr:row>
      <xdr:rowOff>72684</xdr:rowOff>
    </xdr:from>
    <xdr:to>
      <xdr:col>0</xdr:col>
      <xdr:colOff>1559025</xdr:colOff>
      <xdr:row>4</xdr:row>
      <xdr:rowOff>648684</xdr:rowOff>
    </xdr:to>
    <xdr:pic>
      <xdr:nvPicPr>
        <xdr:cNvPr id="43" name="Picture 931" descr="Желе_00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BEBA8EAE-BF5A-486C-A8C5-ECC9F3942E4B}">
              <a14:imgProps xmlns="" xmlns:a14="http://schemas.microsoft.com/office/drawing/2010/main">
                <a14:imgLayer r:embed="rId28">
                  <a14:imgEffect>
                    <a14:brightnessContrast contrast="-4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733425" y="2791639"/>
          <a:ext cx="825600" cy="57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571500</xdr:colOff>
      <xdr:row>3</xdr:row>
      <xdr:rowOff>69274</xdr:rowOff>
    </xdr:from>
    <xdr:to>
      <xdr:col>0</xdr:col>
      <xdr:colOff>1960848</xdr:colOff>
      <xdr:row>3</xdr:row>
      <xdr:rowOff>645274</xdr:rowOff>
    </xdr:to>
    <xdr:pic>
      <xdr:nvPicPr>
        <xdr:cNvPr id="44" name="Picture 936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BEBA8EAE-BF5A-486C-A8C5-ECC9F3942E4B}">
              <a14:imgProps xmlns="" xmlns:a14="http://schemas.microsoft.com/office/drawing/2010/main">
                <a14:imgLayer r:embed="rId30">
                  <a14:imgEffect>
                    <a14:brightnessContrast contrast="-4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571500" y="2095501"/>
          <a:ext cx="1389348" cy="57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912253</xdr:colOff>
      <xdr:row>8</xdr:row>
      <xdr:rowOff>43708</xdr:rowOff>
    </xdr:from>
    <xdr:to>
      <xdr:col>0</xdr:col>
      <xdr:colOff>1205549</xdr:colOff>
      <xdr:row>9</xdr:row>
      <xdr:rowOff>646981</xdr:rowOff>
    </xdr:to>
    <xdr:pic>
      <xdr:nvPicPr>
        <xdr:cNvPr id="45" name="Рисунок 34" descr="Наконечник прямой_8017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 rot="2034787">
          <a:off x="912253" y="5533572"/>
          <a:ext cx="293296" cy="129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985838</xdr:colOff>
      <xdr:row>12</xdr:row>
      <xdr:rowOff>21679</xdr:rowOff>
    </xdr:from>
    <xdr:to>
      <xdr:col>0</xdr:col>
      <xdr:colOff>1300163</xdr:colOff>
      <xdr:row>12</xdr:row>
      <xdr:rowOff>650329</xdr:rowOff>
    </xdr:to>
    <xdr:pic>
      <xdr:nvPicPr>
        <xdr:cNvPr id="46" name="Рисунок 42" descr="наконечник для уличного освещения.pn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985838" y="8178543"/>
          <a:ext cx="31432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848582</xdr:colOff>
      <xdr:row>10</xdr:row>
      <xdr:rowOff>51954</xdr:rowOff>
    </xdr:from>
    <xdr:to>
      <xdr:col>0</xdr:col>
      <xdr:colOff>1395859</xdr:colOff>
      <xdr:row>10</xdr:row>
      <xdr:rowOff>591954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848582" y="6927272"/>
          <a:ext cx="547277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634909</xdr:colOff>
      <xdr:row>11</xdr:row>
      <xdr:rowOff>63408</xdr:rowOff>
    </xdr:from>
    <xdr:to>
      <xdr:col>0</xdr:col>
      <xdr:colOff>1572202</xdr:colOff>
      <xdr:row>11</xdr:row>
      <xdr:rowOff>603408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634909" y="7579499"/>
          <a:ext cx="937293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42017</xdr:colOff>
      <xdr:row>11</xdr:row>
      <xdr:rowOff>114300</xdr:rowOff>
    </xdr:from>
    <xdr:to>
      <xdr:col>0</xdr:col>
      <xdr:colOff>1799380</xdr:colOff>
      <xdr:row>15</xdr:row>
      <xdr:rowOff>311877</xdr:rowOff>
    </xdr:to>
    <xdr:pic>
      <xdr:nvPicPr>
        <xdr:cNvPr id="154625" name="Picture 1" descr="калитки cop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017" y="9000565"/>
          <a:ext cx="1757363" cy="1510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75635</xdr:colOff>
      <xdr:row>4</xdr:row>
      <xdr:rowOff>152401</xdr:rowOff>
    </xdr:from>
    <xdr:to>
      <xdr:col>0</xdr:col>
      <xdr:colOff>1671073</xdr:colOff>
      <xdr:row>7</xdr:row>
      <xdr:rowOff>267635</xdr:rowOff>
    </xdr:to>
    <xdr:pic>
      <xdr:nvPicPr>
        <xdr:cNvPr id="154626" name="Picture 2" descr="Ворота cop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635" y="2225489"/>
          <a:ext cx="1595438" cy="1157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37</xdr:row>
      <xdr:rowOff>85725</xdr:rowOff>
    </xdr:from>
    <xdr:to>
      <xdr:col>0</xdr:col>
      <xdr:colOff>1908378</xdr:colOff>
      <xdr:row>40</xdr:row>
      <xdr:rowOff>274163</xdr:rowOff>
    </xdr:to>
    <xdr:pic>
      <xdr:nvPicPr>
        <xdr:cNvPr id="154627" name="Picture 78" descr="Ворота cop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35000" y="14635163"/>
          <a:ext cx="1717878" cy="126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277343</xdr:colOff>
      <xdr:row>18</xdr:row>
      <xdr:rowOff>49089</xdr:rowOff>
    </xdr:from>
    <xdr:to>
      <xdr:col>0</xdr:col>
      <xdr:colOff>794222</xdr:colOff>
      <xdr:row>19</xdr:row>
      <xdr:rowOff>309397</xdr:rowOff>
    </xdr:to>
    <xdr:pic>
      <xdr:nvPicPr>
        <xdr:cNvPr id="154628" name="Picture 300" descr="00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77343" y="12879824"/>
          <a:ext cx="516879" cy="607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142871</xdr:colOff>
      <xdr:row>24</xdr:row>
      <xdr:rowOff>53486</xdr:rowOff>
    </xdr:from>
    <xdr:to>
      <xdr:col>0</xdr:col>
      <xdr:colOff>1820502</xdr:colOff>
      <xdr:row>25</xdr:row>
      <xdr:rowOff>313793</xdr:rowOff>
    </xdr:to>
    <xdr:pic>
      <xdr:nvPicPr>
        <xdr:cNvPr id="154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2871" y="15081005"/>
          <a:ext cx="1677631" cy="61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142871</xdr:colOff>
      <xdr:row>22</xdr:row>
      <xdr:rowOff>51655</xdr:rowOff>
    </xdr:from>
    <xdr:to>
      <xdr:col>0</xdr:col>
      <xdr:colOff>1818966</xdr:colOff>
      <xdr:row>23</xdr:row>
      <xdr:rowOff>311963</xdr:rowOff>
    </xdr:to>
    <xdr:pic>
      <xdr:nvPicPr>
        <xdr:cNvPr id="1546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1" y="14375790"/>
          <a:ext cx="1676095" cy="61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277342</xdr:colOff>
      <xdr:row>20</xdr:row>
      <xdr:rowOff>58616</xdr:rowOff>
    </xdr:from>
    <xdr:to>
      <xdr:col>0</xdr:col>
      <xdr:colOff>817534</xdr:colOff>
      <xdr:row>21</xdr:row>
      <xdr:rowOff>318924</xdr:rowOff>
    </xdr:to>
    <xdr:pic>
      <xdr:nvPicPr>
        <xdr:cNvPr id="15463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7342" y="13584116"/>
          <a:ext cx="540192" cy="607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79698</xdr:colOff>
      <xdr:row>44</xdr:row>
      <xdr:rowOff>119061</xdr:rowOff>
    </xdr:from>
    <xdr:to>
      <xdr:col>0</xdr:col>
      <xdr:colOff>824244</xdr:colOff>
      <xdr:row>47</xdr:row>
      <xdr:rowOff>259874</xdr:rowOff>
    </xdr:to>
    <xdr:pic>
      <xdr:nvPicPr>
        <xdr:cNvPr id="154632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224198" y="14287499"/>
          <a:ext cx="744546" cy="1260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1106312</xdr:colOff>
      <xdr:row>44</xdr:row>
      <xdr:rowOff>123824</xdr:rowOff>
    </xdr:from>
    <xdr:to>
      <xdr:col>1</xdr:col>
      <xdr:colOff>1012215</xdr:colOff>
      <xdr:row>47</xdr:row>
      <xdr:rowOff>264637</xdr:rowOff>
    </xdr:to>
    <xdr:pic>
      <xdr:nvPicPr>
        <xdr:cNvPr id="154633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06312" y="16340137"/>
          <a:ext cx="1906153" cy="1260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571506</xdr:colOff>
      <xdr:row>30</xdr:row>
      <xdr:rowOff>76200</xdr:rowOff>
    </xdr:from>
    <xdr:to>
      <xdr:col>0</xdr:col>
      <xdr:colOff>1153553</xdr:colOff>
      <xdr:row>33</xdr:row>
      <xdr:rowOff>193200</xdr:rowOff>
    </xdr:to>
    <xdr:pic>
      <xdr:nvPicPr>
        <xdr:cNvPr id="154634" name="Рисунок 12" descr="07 копия - копия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71506" y="14625638"/>
          <a:ext cx="582047" cy="126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1547815</xdr:colOff>
      <xdr:row>51</xdr:row>
      <xdr:rowOff>90485</xdr:rowOff>
    </xdr:from>
    <xdr:to>
      <xdr:col>1</xdr:col>
      <xdr:colOff>1453716</xdr:colOff>
      <xdr:row>54</xdr:row>
      <xdr:rowOff>244610</xdr:rowOff>
    </xdr:to>
    <xdr:pic>
      <xdr:nvPicPr>
        <xdr:cNvPr id="154635" name="Рисунок 16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47815" y="18878548"/>
          <a:ext cx="1906151" cy="144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205859</xdr:colOff>
      <xdr:row>51</xdr:row>
      <xdr:rowOff>238125</xdr:rowOff>
    </xdr:from>
    <xdr:to>
      <xdr:col>0</xdr:col>
      <xdr:colOff>1173967</xdr:colOff>
      <xdr:row>54</xdr:row>
      <xdr:rowOff>212250</xdr:rowOff>
    </xdr:to>
    <xdr:pic>
      <xdr:nvPicPr>
        <xdr:cNvPr id="154636" name="Рисунок 17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05859" y="19026188"/>
          <a:ext cx="968108" cy="126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95237</xdr:colOff>
      <xdr:row>31</xdr:row>
      <xdr:rowOff>66680</xdr:rowOff>
    </xdr:from>
    <xdr:to>
      <xdr:col>11</xdr:col>
      <xdr:colOff>19051</xdr:colOff>
      <xdr:row>32</xdr:row>
      <xdr:rowOff>344432</xdr:rowOff>
    </xdr:to>
    <xdr:pic>
      <xdr:nvPicPr>
        <xdr:cNvPr id="1546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4687537" y="11572880"/>
          <a:ext cx="1333514" cy="658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137247</xdr:colOff>
      <xdr:row>1</xdr:row>
      <xdr:rowOff>354589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57300"/>
          <a:ext cx="5409334" cy="13213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210835</xdr:colOff>
      <xdr:row>28</xdr:row>
      <xdr:rowOff>68037</xdr:rowOff>
    </xdr:from>
    <xdr:to>
      <xdr:col>10</xdr:col>
      <xdr:colOff>1247082</xdr:colOff>
      <xdr:row>29</xdr:row>
      <xdr:rowOff>312964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14797692" y="10273394"/>
          <a:ext cx="1036247" cy="5987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55560</xdr:colOff>
      <xdr:row>14</xdr:row>
      <xdr:rowOff>57150</xdr:rowOff>
    </xdr:from>
    <xdr:to>
      <xdr:col>0</xdr:col>
      <xdr:colOff>2006760</xdr:colOff>
      <xdr:row>16</xdr:row>
      <xdr:rowOff>353999</xdr:rowOff>
    </xdr:to>
    <xdr:pic>
      <xdr:nvPicPr>
        <xdr:cNvPr id="1484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60" y="6877050"/>
          <a:ext cx="1951200" cy="1135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55560</xdr:colOff>
      <xdr:row>7</xdr:row>
      <xdr:rowOff>66675</xdr:rowOff>
    </xdr:from>
    <xdr:to>
      <xdr:col>0</xdr:col>
      <xdr:colOff>2008180</xdr:colOff>
      <xdr:row>9</xdr:row>
      <xdr:rowOff>363524</xdr:rowOff>
    </xdr:to>
    <xdr:pic>
      <xdr:nvPicPr>
        <xdr:cNvPr id="14848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560" y="3448050"/>
          <a:ext cx="1952620" cy="1135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55560</xdr:colOff>
      <xdr:row>4</xdr:row>
      <xdr:rowOff>71438</xdr:rowOff>
    </xdr:from>
    <xdr:to>
      <xdr:col>0</xdr:col>
      <xdr:colOff>2006760</xdr:colOff>
      <xdr:row>6</xdr:row>
      <xdr:rowOff>368287</xdr:rowOff>
    </xdr:to>
    <xdr:pic>
      <xdr:nvPicPr>
        <xdr:cNvPr id="148485" name="Picture 5" descr="Откатные на фауресике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560" y="2138363"/>
          <a:ext cx="1951200" cy="1135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110424</xdr:colOff>
      <xdr:row>25</xdr:row>
      <xdr:rowOff>195261</xdr:rowOff>
    </xdr:from>
    <xdr:to>
      <xdr:col>1</xdr:col>
      <xdr:colOff>1157686</xdr:colOff>
      <xdr:row>30</xdr:row>
      <xdr:rowOff>76624</xdr:rowOff>
    </xdr:to>
    <xdr:pic>
      <xdr:nvPicPr>
        <xdr:cNvPr id="148486" name="Afbeelding 1088" descr="LSKZ U2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75197" y="12023579"/>
          <a:ext cx="1047262" cy="144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1223983</xdr:colOff>
      <xdr:row>27</xdr:row>
      <xdr:rowOff>85283</xdr:rowOff>
    </xdr:from>
    <xdr:to>
      <xdr:col>1</xdr:col>
      <xdr:colOff>1520051</xdr:colOff>
      <xdr:row>30</xdr:row>
      <xdr:rowOff>61040</xdr:rowOff>
    </xdr:to>
    <xdr:pic>
      <xdr:nvPicPr>
        <xdr:cNvPr id="148487" name="Afbeelding 2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388756" y="12537056"/>
          <a:ext cx="296068" cy="910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1575583</xdr:colOff>
      <xdr:row>27</xdr:row>
      <xdr:rowOff>99937</xdr:rowOff>
    </xdr:from>
    <xdr:to>
      <xdr:col>1</xdr:col>
      <xdr:colOff>1915264</xdr:colOff>
      <xdr:row>30</xdr:row>
      <xdr:rowOff>18764</xdr:rowOff>
    </xdr:to>
    <xdr:pic>
      <xdr:nvPicPr>
        <xdr:cNvPr id="148488" name="Afbeelding 138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="" xmlns:a14="http://schemas.microsoft.com/office/drawing/2010/main">
                <a14:imgLayer r:embed="rId7"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3737025" y="12621649"/>
          <a:ext cx="339681" cy="86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55560</xdr:colOff>
      <xdr:row>10</xdr:row>
      <xdr:rowOff>50800</xdr:rowOff>
    </xdr:from>
    <xdr:to>
      <xdr:col>0</xdr:col>
      <xdr:colOff>2006760</xdr:colOff>
      <xdr:row>10</xdr:row>
      <xdr:rowOff>1166800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55560" y="4660900"/>
          <a:ext cx="1951200" cy="11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54120</xdr:colOff>
      <xdr:row>0</xdr:row>
      <xdr:rowOff>16021</xdr:rowOff>
    </xdr:from>
    <xdr:to>
      <xdr:col>2</xdr:col>
      <xdr:colOff>1272454</xdr:colOff>
      <xdr:row>2</xdr:row>
      <xdr:rowOff>8957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4120" y="16021"/>
          <a:ext cx="5409334" cy="1363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233794</xdr:colOff>
      <xdr:row>33</xdr:row>
      <xdr:rowOff>103908</xdr:rowOff>
    </xdr:from>
    <xdr:to>
      <xdr:col>1</xdr:col>
      <xdr:colOff>1875394</xdr:colOff>
      <xdr:row>33</xdr:row>
      <xdr:rowOff>1183908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8567" y="14356772"/>
          <a:ext cx="1641600" cy="1080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207816</xdr:colOff>
      <xdr:row>34</xdr:row>
      <xdr:rowOff>123824</xdr:rowOff>
    </xdr:from>
    <xdr:to>
      <xdr:col>1</xdr:col>
      <xdr:colOff>1662510</xdr:colOff>
      <xdr:row>34</xdr:row>
      <xdr:rowOff>1203824</xdr:rowOff>
    </xdr:to>
    <xdr:pic>
      <xdr:nvPicPr>
        <xdr:cNvPr id="1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589" y="15623597"/>
          <a:ext cx="1454694" cy="1080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769611</xdr:colOff>
      <xdr:row>33</xdr:row>
      <xdr:rowOff>103908</xdr:rowOff>
    </xdr:from>
    <xdr:to>
      <xdr:col>6</xdr:col>
      <xdr:colOff>598496</xdr:colOff>
      <xdr:row>33</xdr:row>
      <xdr:rowOff>1183908</xdr:rowOff>
    </xdr:to>
    <xdr:pic>
      <xdr:nvPicPr>
        <xdr:cNvPr id="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011" y="14581908"/>
          <a:ext cx="2191085" cy="1080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560239</xdr:colOff>
      <xdr:row>34</xdr:row>
      <xdr:rowOff>100447</xdr:rowOff>
    </xdr:from>
    <xdr:to>
      <xdr:col>6</xdr:col>
      <xdr:colOff>807867</xdr:colOff>
      <xdr:row>34</xdr:row>
      <xdr:rowOff>1180447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0639" y="15816697"/>
          <a:ext cx="2609828" cy="1080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36</xdr:row>
      <xdr:rowOff>28575</xdr:rowOff>
    </xdr:from>
    <xdr:to>
      <xdr:col>0</xdr:col>
      <xdr:colOff>1133475</xdr:colOff>
      <xdr:row>36</xdr:row>
      <xdr:rowOff>457200</xdr:rowOff>
    </xdr:to>
    <xdr:pic>
      <xdr:nvPicPr>
        <xdr:cNvPr id="152577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15563850"/>
          <a:ext cx="6381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50</xdr:row>
      <xdr:rowOff>200025</xdr:rowOff>
    </xdr:from>
    <xdr:to>
      <xdr:col>0</xdr:col>
      <xdr:colOff>1323975</xdr:colOff>
      <xdr:row>51</xdr:row>
      <xdr:rowOff>142875</xdr:rowOff>
    </xdr:to>
    <xdr:pic>
      <xdr:nvPicPr>
        <xdr:cNvPr id="152578" name="Picture 277" descr="Рисунок2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6225" y="21869400"/>
          <a:ext cx="10477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49</xdr:row>
      <xdr:rowOff>76200</xdr:rowOff>
    </xdr:from>
    <xdr:to>
      <xdr:col>0</xdr:col>
      <xdr:colOff>1247775</xdr:colOff>
      <xdr:row>49</xdr:row>
      <xdr:rowOff>466725</xdr:rowOff>
    </xdr:to>
    <xdr:pic>
      <xdr:nvPicPr>
        <xdr:cNvPr id="152579" name="Picture 278" descr="Рисунок2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21202650"/>
          <a:ext cx="8953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48</xdr:row>
      <xdr:rowOff>38100</xdr:rowOff>
    </xdr:from>
    <xdr:to>
      <xdr:col>0</xdr:col>
      <xdr:colOff>1200150</xdr:colOff>
      <xdr:row>48</xdr:row>
      <xdr:rowOff>476250</xdr:rowOff>
    </xdr:to>
    <xdr:pic>
      <xdr:nvPicPr>
        <xdr:cNvPr id="152580" name="Picture 279" descr="Рисунок2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9575" y="20640675"/>
          <a:ext cx="7905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20</xdr:row>
      <xdr:rowOff>28575</xdr:rowOff>
    </xdr:from>
    <xdr:to>
      <xdr:col>0</xdr:col>
      <xdr:colOff>1247775</xdr:colOff>
      <xdr:row>21</xdr:row>
      <xdr:rowOff>247650</xdr:rowOff>
    </xdr:to>
    <xdr:pic>
      <xdr:nvPicPr>
        <xdr:cNvPr id="152581" name="Picture 285" descr="IMG_533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5725" y="10420350"/>
          <a:ext cx="11620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22</xdr:row>
      <xdr:rowOff>66675</xdr:rowOff>
    </xdr:from>
    <xdr:to>
      <xdr:col>0</xdr:col>
      <xdr:colOff>1143000</xdr:colOff>
      <xdr:row>25</xdr:row>
      <xdr:rowOff>228600</xdr:rowOff>
    </xdr:to>
    <xdr:pic>
      <xdr:nvPicPr>
        <xdr:cNvPr id="152582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04800" y="10972800"/>
          <a:ext cx="8382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581025</xdr:colOff>
      <xdr:row>37</xdr:row>
      <xdr:rowOff>19050</xdr:rowOff>
    </xdr:from>
    <xdr:to>
      <xdr:col>0</xdr:col>
      <xdr:colOff>1057275</xdr:colOff>
      <xdr:row>38</xdr:row>
      <xdr:rowOff>9525</xdr:rowOff>
    </xdr:to>
    <xdr:pic>
      <xdr:nvPicPr>
        <xdr:cNvPr id="152584" name="Picture 28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81025" y="16059150"/>
          <a:ext cx="476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38</xdr:row>
      <xdr:rowOff>38100</xdr:rowOff>
    </xdr:from>
    <xdr:to>
      <xdr:col>0</xdr:col>
      <xdr:colOff>1152525</xdr:colOff>
      <xdr:row>39</xdr:row>
      <xdr:rowOff>219076</xdr:rowOff>
    </xdr:to>
    <xdr:pic>
      <xdr:nvPicPr>
        <xdr:cNvPr id="152585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50" y="16583025"/>
          <a:ext cx="6762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40</xdr:row>
      <xdr:rowOff>28575</xdr:rowOff>
    </xdr:from>
    <xdr:to>
      <xdr:col>0</xdr:col>
      <xdr:colOff>1219200</xdr:colOff>
      <xdr:row>41</xdr:row>
      <xdr:rowOff>238125</xdr:rowOff>
    </xdr:to>
    <xdr:pic>
      <xdr:nvPicPr>
        <xdr:cNvPr id="152586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17087850"/>
          <a:ext cx="8096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561975</xdr:colOff>
      <xdr:row>42</xdr:row>
      <xdr:rowOff>28575</xdr:rowOff>
    </xdr:from>
    <xdr:to>
      <xdr:col>0</xdr:col>
      <xdr:colOff>1076325</xdr:colOff>
      <xdr:row>43</xdr:row>
      <xdr:rowOff>0</xdr:rowOff>
    </xdr:to>
    <xdr:pic>
      <xdr:nvPicPr>
        <xdr:cNvPr id="152587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61975" y="17602200"/>
          <a:ext cx="5143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43</xdr:row>
      <xdr:rowOff>19050</xdr:rowOff>
    </xdr:from>
    <xdr:to>
      <xdr:col>0</xdr:col>
      <xdr:colOff>1152525</xdr:colOff>
      <xdr:row>44</xdr:row>
      <xdr:rowOff>0</xdr:rowOff>
    </xdr:to>
    <xdr:pic>
      <xdr:nvPicPr>
        <xdr:cNvPr id="152588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66725" y="18097500"/>
          <a:ext cx="685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523875</xdr:colOff>
      <xdr:row>44</xdr:row>
      <xdr:rowOff>28575</xdr:rowOff>
    </xdr:from>
    <xdr:to>
      <xdr:col>0</xdr:col>
      <xdr:colOff>1066800</xdr:colOff>
      <xdr:row>45</xdr:row>
      <xdr:rowOff>9525</xdr:rowOff>
    </xdr:to>
    <xdr:pic>
      <xdr:nvPicPr>
        <xdr:cNvPr id="152589" name="Picture 294" descr="Рисунок3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23875" y="18611850"/>
          <a:ext cx="5429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45</xdr:row>
      <xdr:rowOff>28575</xdr:rowOff>
    </xdr:from>
    <xdr:to>
      <xdr:col>0</xdr:col>
      <xdr:colOff>1085850</xdr:colOff>
      <xdr:row>46</xdr:row>
      <xdr:rowOff>9525</xdr:rowOff>
    </xdr:to>
    <xdr:pic>
      <xdr:nvPicPr>
        <xdr:cNvPr id="152590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04825" y="19116675"/>
          <a:ext cx="5810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542925</xdr:colOff>
      <xdr:row>46</xdr:row>
      <xdr:rowOff>38100</xdr:rowOff>
    </xdr:from>
    <xdr:to>
      <xdr:col>0</xdr:col>
      <xdr:colOff>1009650</xdr:colOff>
      <xdr:row>46</xdr:row>
      <xdr:rowOff>457200</xdr:rowOff>
    </xdr:to>
    <xdr:pic>
      <xdr:nvPicPr>
        <xdr:cNvPr id="152591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542925" y="19631025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114299</xdr:colOff>
      <xdr:row>10</xdr:row>
      <xdr:rowOff>152400</xdr:rowOff>
    </xdr:from>
    <xdr:to>
      <xdr:col>0</xdr:col>
      <xdr:colOff>1554299</xdr:colOff>
      <xdr:row>11</xdr:row>
      <xdr:rowOff>650986</xdr:rowOff>
    </xdr:to>
    <xdr:pic>
      <xdr:nvPicPr>
        <xdr:cNvPr id="152593" name="Picture 282" descr="Рисунок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14299" y="4991100"/>
          <a:ext cx="1440000" cy="13177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114299</xdr:colOff>
      <xdr:row>14</xdr:row>
      <xdr:rowOff>180975</xdr:rowOff>
    </xdr:from>
    <xdr:to>
      <xdr:col>0</xdr:col>
      <xdr:colOff>1554299</xdr:colOff>
      <xdr:row>15</xdr:row>
      <xdr:rowOff>681825</xdr:rowOff>
    </xdr:to>
    <xdr:pic>
      <xdr:nvPicPr>
        <xdr:cNvPr id="152594" name="Picture 283" descr="Рисунок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14299" y="7191375"/>
          <a:ext cx="1440000" cy="13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114299</xdr:colOff>
      <xdr:row>16</xdr:row>
      <xdr:rowOff>133350</xdr:rowOff>
    </xdr:from>
    <xdr:to>
      <xdr:col>0</xdr:col>
      <xdr:colOff>1554299</xdr:colOff>
      <xdr:row>17</xdr:row>
      <xdr:rowOff>682199</xdr:rowOff>
    </xdr:to>
    <xdr:pic>
      <xdr:nvPicPr>
        <xdr:cNvPr id="152595" name="Picture 284" descr="Рисунок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14299" y="8782050"/>
          <a:ext cx="1440000" cy="1367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114299</xdr:colOff>
      <xdr:row>4</xdr:row>
      <xdr:rowOff>123825</xdr:rowOff>
    </xdr:from>
    <xdr:to>
      <xdr:col>0</xdr:col>
      <xdr:colOff>1554299</xdr:colOff>
      <xdr:row>7</xdr:row>
      <xdr:rowOff>684355</xdr:rowOff>
    </xdr:to>
    <xdr:pic>
      <xdr:nvPicPr>
        <xdr:cNvPr id="152596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14299" y="2809875"/>
          <a:ext cx="1440000" cy="1360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47</xdr:row>
      <xdr:rowOff>142875</xdr:rowOff>
    </xdr:from>
    <xdr:to>
      <xdr:col>0</xdr:col>
      <xdr:colOff>1419225</xdr:colOff>
      <xdr:row>47</xdr:row>
      <xdr:rowOff>409575</xdr:rowOff>
    </xdr:to>
    <xdr:pic>
      <xdr:nvPicPr>
        <xdr:cNvPr id="152598" name="Рисунок 23" descr="dds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90500" y="20240625"/>
          <a:ext cx="12287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294410</xdr:colOff>
      <xdr:row>31</xdr:row>
      <xdr:rowOff>4914</xdr:rowOff>
    </xdr:from>
    <xdr:to>
      <xdr:col>0</xdr:col>
      <xdr:colOff>1266410</xdr:colOff>
      <xdr:row>35</xdr:row>
      <xdr:rowOff>184008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>
          <a:off x="294410" y="13270641"/>
          <a:ext cx="972000" cy="1218184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294410</xdr:colOff>
      <xdr:row>26</xdr:row>
      <xdr:rowOff>69272</xdr:rowOff>
    </xdr:from>
    <xdr:to>
      <xdr:col>0</xdr:col>
      <xdr:colOff>1266410</xdr:colOff>
      <xdr:row>31</xdr:row>
      <xdr:rowOff>24194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>
          <a:off x="294410" y="12036136"/>
          <a:ext cx="972000" cy="1253786"/>
        </a:xfrm>
        <a:prstGeom prst="rect">
          <a:avLst/>
        </a:prstGeom>
      </xdr:spPr>
    </xdr:pic>
    <xdr:clientData/>
  </xdr:twoCellAnchor>
  <xdr:twoCellAnchor editAs="oneCell">
    <xdr:from>
      <xdr:col>0</xdr:col>
      <xdr:colOff>51953</xdr:colOff>
      <xdr:row>0</xdr:row>
      <xdr:rowOff>0</xdr:rowOff>
    </xdr:from>
    <xdr:to>
      <xdr:col>3</xdr:col>
      <xdr:colOff>207817</xdr:colOff>
      <xdr:row>1</xdr:row>
      <xdr:rowOff>322984</xdr:rowOff>
    </xdr:to>
    <xdr:pic>
      <xdr:nvPicPr>
        <xdr:cNvPr id="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51953" y="692728"/>
          <a:ext cx="5437909" cy="1292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4</xdr:row>
      <xdr:rowOff>76196</xdr:rowOff>
    </xdr:from>
    <xdr:to>
      <xdr:col>0</xdr:col>
      <xdr:colOff>2495551</xdr:colOff>
      <xdr:row>6</xdr:row>
      <xdr:rowOff>500057</xdr:rowOff>
    </xdr:to>
    <xdr:pic>
      <xdr:nvPicPr>
        <xdr:cNvPr id="153601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6" y="2862259"/>
          <a:ext cx="2447925" cy="1566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457193</xdr:colOff>
      <xdr:row>25</xdr:row>
      <xdr:rowOff>323850</xdr:rowOff>
    </xdr:from>
    <xdr:to>
      <xdr:col>0</xdr:col>
      <xdr:colOff>1953445</xdr:colOff>
      <xdr:row>26</xdr:row>
      <xdr:rowOff>526922</xdr:rowOff>
    </xdr:to>
    <xdr:pic>
      <xdr:nvPicPr>
        <xdr:cNvPr id="15360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7193" y="18078450"/>
          <a:ext cx="1496252" cy="9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578106</xdr:colOff>
      <xdr:row>15</xdr:row>
      <xdr:rowOff>100376</xdr:rowOff>
    </xdr:from>
    <xdr:to>
      <xdr:col>0</xdr:col>
      <xdr:colOff>1887684</xdr:colOff>
      <xdr:row>19</xdr:row>
      <xdr:rowOff>367416</xdr:rowOff>
    </xdr:to>
    <xdr:pic>
      <xdr:nvPicPr>
        <xdr:cNvPr id="153603" name="Picture 18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/>
        <a:srcRect l="5981" t="14218" r="5601" b="11364"/>
        <a:stretch/>
      </xdr:blipFill>
      <xdr:spPr bwMode="auto">
        <a:xfrm>
          <a:off x="578106" y="10006376"/>
          <a:ext cx="1309578" cy="1998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452442</xdr:colOff>
      <xdr:row>27</xdr:row>
      <xdr:rowOff>71438</xdr:rowOff>
    </xdr:from>
    <xdr:to>
      <xdr:col>0</xdr:col>
      <xdr:colOff>1663736</xdr:colOff>
      <xdr:row>27</xdr:row>
      <xdr:rowOff>575438</xdr:rowOff>
    </xdr:to>
    <xdr:pic>
      <xdr:nvPicPr>
        <xdr:cNvPr id="153605" name="Рисунок 11" descr="Крепление временного ограждения.JPG"/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 bwMode="auto">
        <a:xfrm>
          <a:off x="452442" y="18168938"/>
          <a:ext cx="1211294" cy="50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117063</xdr:colOff>
      <xdr:row>36</xdr:row>
      <xdr:rowOff>557215</xdr:rowOff>
    </xdr:from>
    <xdr:to>
      <xdr:col>4</xdr:col>
      <xdr:colOff>1827954</xdr:colOff>
      <xdr:row>39</xdr:row>
      <xdr:rowOff>197419</xdr:rowOff>
    </xdr:to>
    <xdr:pic>
      <xdr:nvPicPr>
        <xdr:cNvPr id="153606" name="Рисунок 13" descr="Штакетник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355938" y="23321965"/>
          <a:ext cx="1710891" cy="216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302989</xdr:colOff>
      <xdr:row>36</xdr:row>
      <xdr:rowOff>214311</xdr:rowOff>
    </xdr:from>
    <xdr:to>
      <xdr:col>1</xdr:col>
      <xdr:colOff>1138862</xdr:colOff>
      <xdr:row>37</xdr:row>
      <xdr:rowOff>521811</xdr:rowOff>
    </xdr:to>
    <xdr:pic>
      <xdr:nvPicPr>
        <xdr:cNvPr id="153607" name="Рисунок 15" descr="штакетник полукруглый - размеры.pn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02989" y="22979061"/>
          <a:ext cx="3359998" cy="126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641626</xdr:colOff>
      <xdr:row>37</xdr:row>
      <xdr:rowOff>523872</xdr:rowOff>
    </xdr:from>
    <xdr:to>
      <xdr:col>3</xdr:col>
      <xdr:colOff>1212751</xdr:colOff>
      <xdr:row>39</xdr:row>
      <xdr:rowOff>216576</xdr:rowOff>
    </xdr:to>
    <xdr:pic>
      <xdr:nvPicPr>
        <xdr:cNvPr id="153608" name="Рисунок 16" descr="штакетник прямоугольный - размеры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165751" y="24241122"/>
          <a:ext cx="3047625" cy="126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421845</xdr:colOff>
      <xdr:row>33</xdr:row>
      <xdr:rowOff>442911</xdr:rowOff>
    </xdr:from>
    <xdr:to>
      <xdr:col>4</xdr:col>
      <xdr:colOff>194281</xdr:colOff>
      <xdr:row>35</xdr:row>
      <xdr:rowOff>464661</xdr:rowOff>
    </xdr:to>
    <xdr:pic>
      <xdr:nvPicPr>
        <xdr:cNvPr id="15360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55495" y="22350411"/>
          <a:ext cx="3525286" cy="127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114300</xdr:rowOff>
    </xdr:from>
    <xdr:to>
      <xdr:col>1</xdr:col>
      <xdr:colOff>1441852</xdr:colOff>
      <xdr:row>34</xdr:row>
      <xdr:rowOff>136050</xdr:rowOff>
    </xdr:to>
    <xdr:pic>
      <xdr:nvPicPr>
        <xdr:cNvPr id="1536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21393150"/>
          <a:ext cx="3975502" cy="127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228598</xdr:colOff>
      <xdr:row>32</xdr:row>
      <xdr:rowOff>90486</xdr:rowOff>
    </xdr:from>
    <xdr:to>
      <xdr:col>4</xdr:col>
      <xdr:colOff>1827954</xdr:colOff>
      <xdr:row>35</xdr:row>
      <xdr:rowOff>393110</xdr:rowOff>
    </xdr:to>
    <xdr:pic>
      <xdr:nvPicPr>
        <xdr:cNvPr id="1536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r="1477"/>
        <a:stretch>
          <a:fillRect/>
        </a:stretch>
      </xdr:blipFill>
      <xdr:spPr bwMode="auto">
        <a:xfrm>
          <a:off x="6467473" y="20997861"/>
          <a:ext cx="1599356" cy="2160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854643</xdr:colOff>
      <xdr:row>20</xdr:row>
      <xdr:rowOff>49357</xdr:rowOff>
    </xdr:from>
    <xdr:to>
      <xdr:col>0</xdr:col>
      <xdr:colOff>1529308</xdr:colOff>
      <xdr:row>20</xdr:row>
      <xdr:rowOff>877357</xdr:rowOff>
    </xdr:to>
    <xdr:pic>
      <xdr:nvPicPr>
        <xdr:cNvPr id="153612" name="Рисунок 18" descr="крепление рулонной сетки на 51й столб_00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54643" y="13107266"/>
          <a:ext cx="674665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514337</xdr:colOff>
      <xdr:row>23</xdr:row>
      <xdr:rowOff>80962</xdr:rowOff>
    </xdr:from>
    <xdr:to>
      <xdr:col>0</xdr:col>
      <xdr:colOff>1653451</xdr:colOff>
      <xdr:row>24</xdr:row>
      <xdr:rowOff>565734</xdr:rowOff>
    </xdr:to>
    <xdr:pic>
      <xdr:nvPicPr>
        <xdr:cNvPr id="153614" name="Рисунок 20" descr="ВрО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14337" y="15821025"/>
          <a:ext cx="1139114" cy="13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57150</xdr:rowOff>
    </xdr:from>
    <xdr:to>
      <xdr:col>3</xdr:col>
      <xdr:colOff>446809</xdr:colOff>
      <xdr:row>1</xdr:row>
      <xdr:rowOff>378402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100" y="57150"/>
          <a:ext cx="5437909" cy="1292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209983</xdr:colOff>
      <xdr:row>9</xdr:row>
      <xdr:rowOff>95252</xdr:rowOff>
    </xdr:from>
    <xdr:to>
      <xdr:col>0</xdr:col>
      <xdr:colOff>2261983</xdr:colOff>
      <xdr:row>10</xdr:row>
      <xdr:rowOff>638631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983" y="5862207"/>
          <a:ext cx="2052000" cy="1495879"/>
        </a:xfrm>
        <a:prstGeom prst="rect">
          <a:avLst/>
        </a:prstGeom>
      </xdr:spPr>
    </xdr:pic>
    <xdr:clientData/>
  </xdr:twoCellAnchor>
  <xdr:twoCellAnchor editAs="oneCell">
    <xdr:from>
      <xdr:col>0</xdr:col>
      <xdr:colOff>209983</xdr:colOff>
      <xdr:row>10</xdr:row>
      <xdr:rowOff>714379</xdr:rowOff>
    </xdr:from>
    <xdr:to>
      <xdr:col>0</xdr:col>
      <xdr:colOff>2261983</xdr:colOff>
      <xdr:row>12</xdr:row>
      <xdr:rowOff>556640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209983" y="7433834"/>
          <a:ext cx="2052000" cy="1366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5">
    <tabColor rgb="FFFFFF00"/>
    <pageSetUpPr fitToPage="1"/>
  </sheetPr>
  <dimension ref="A1:J68"/>
  <sheetViews>
    <sheetView showGridLines="0" tabSelected="1" zoomScale="70" zoomScaleNormal="70" zoomScaleSheetLayoutView="40" zoomScalePageLayoutView="40" workbookViewId="0">
      <selection activeCell="H42" sqref="H42"/>
    </sheetView>
  </sheetViews>
  <sheetFormatPr defaultColWidth="3.28515625" defaultRowHeight="18"/>
  <cols>
    <col min="1" max="1" width="32" style="1" customWidth="1"/>
    <col min="2" max="2" width="46.28515625" style="1" customWidth="1"/>
    <col min="3" max="3" width="31.5703125" style="1" customWidth="1"/>
    <col min="4" max="4" width="26.7109375" style="1" customWidth="1"/>
    <col min="5" max="5" width="19.7109375" style="1" customWidth="1"/>
    <col min="6" max="6" width="17.7109375" style="1" customWidth="1"/>
    <col min="7" max="7" width="20.7109375" style="1" customWidth="1"/>
    <col min="8" max="8" width="26" style="1" customWidth="1"/>
    <col min="9" max="9" width="63.140625" hidden="1" customWidth="1"/>
    <col min="10" max="10" width="12" style="241" hidden="1" customWidth="1"/>
    <col min="11" max="11" width="5.28515625" style="1" bestFit="1" customWidth="1"/>
    <col min="12" max="16384" width="3.28515625" style="1"/>
  </cols>
  <sheetData>
    <row r="1" spans="1:10" ht="75.75" customHeight="1">
      <c r="A1" s="1862" t="s">
        <v>680</v>
      </c>
      <c r="B1" s="1861"/>
      <c r="C1" s="208"/>
      <c r="D1" s="208"/>
      <c r="E1" s="208"/>
      <c r="F1" s="208"/>
      <c r="G1" s="217"/>
      <c r="H1" s="711"/>
      <c r="I1" s="1"/>
    </row>
    <row r="2" spans="1:10" ht="75.75" customHeight="1">
      <c r="C2" s="208"/>
      <c r="D2" s="208"/>
      <c r="E2" s="208"/>
      <c r="F2" s="208"/>
      <c r="G2" s="217"/>
      <c r="H2" s="711"/>
      <c r="I2" s="1"/>
    </row>
    <row r="3" spans="1:10" ht="34.5" customHeight="1">
      <c r="A3" s="911" t="s">
        <v>681</v>
      </c>
      <c r="C3" s="208"/>
      <c r="D3" s="208"/>
      <c r="E3" s="208"/>
      <c r="F3" s="208"/>
      <c r="G3" s="217"/>
      <c r="H3" s="711"/>
      <c r="I3" s="1"/>
    </row>
    <row r="4" spans="1:10" customFormat="1" ht="39.75" customHeight="1">
      <c r="A4" s="969" t="s">
        <v>679</v>
      </c>
      <c r="B4" s="970"/>
      <c r="C4" s="970"/>
      <c r="D4" s="970"/>
      <c r="E4" s="970"/>
      <c r="F4" s="970"/>
      <c r="G4" s="970"/>
      <c r="H4" s="970"/>
      <c r="J4" s="241"/>
    </row>
    <row r="5" spans="1:10" customFormat="1" ht="144" customHeight="1">
      <c r="A5" s="971" t="s">
        <v>200</v>
      </c>
      <c r="B5" s="974" t="s">
        <v>189</v>
      </c>
      <c r="C5" s="975"/>
      <c r="D5" s="978" t="s">
        <v>394</v>
      </c>
      <c r="E5" s="971" t="s">
        <v>211</v>
      </c>
      <c r="F5" s="971" t="s">
        <v>124</v>
      </c>
      <c r="G5" s="971" t="s">
        <v>213</v>
      </c>
      <c r="H5" s="971" t="s">
        <v>180</v>
      </c>
      <c r="I5" s="226" t="s">
        <v>400</v>
      </c>
      <c r="J5" s="242" t="s">
        <v>66</v>
      </c>
    </row>
    <row r="6" spans="1:10" customFormat="1" ht="27.2" customHeight="1" thickBot="1">
      <c r="A6" s="972"/>
      <c r="B6" s="976"/>
      <c r="C6" s="977"/>
      <c r="D6" s="971"/>
      <c r="E6" s="972"/>
      <c r="F6" s="972"/>
      <c r="G6" s="972"/>
      <c r="H6" s="972"/>
      <c r="I6" s="227" t="s">
        <v>371</v>
      </c>
      <c r="J6" s="242"/>
    </row>
    <row r="7" spans="1:10" customFormat="1" ht="36.950000000000003" customHeight="1">
      <c r="A7" s="979"/>
      <c r="B7" s="982" t="s">
        <v>674</v>
      </c>
      <c r="C7" s="983"/>
      <c r="D7" s="765" t="s">
        <v>668</v>
      </c>
      <c r="E7" s="757">
        <v>3</v>
      </c>
      <c r="F7" s="757">
        <v>7.33</v>
      </c>
      <c r="G7" s="956">
        <v>80</v>
      </c>
      <c r="H7" s="766">
        <f>ROUND(J7*(1-$B$46),2)</f>
        <v>1378</v>
      </c>
      <c r="I7" s="749">
        <f>ROUND(((H7+H16+($H$28*E21))/2.5),0)</f>
        <v>787</v>
      </c>
      <c r="J7" s="243">
        <v>1378</v>
      </c>
    </row>
    <row r="8" spans="1:10" customFormat="1" ht="36.950000000000003" customHeight="1">
      <c r="A8" s="980"/>
      <c r="B8" s="984"/>
      <c r="C8" s="985"/>
      <c r="D8" s="874" t="s">
        <v>669</v>
      </c>
      <c r="E8" s="875">
        <v>3</v>
      </c>
      <c r="F8" s="875">
        <v>8.1300000000000008</v>
      </c>
      <c r="G8" s="957">
        <v>80</v>
      </c>
      <c r="H8" s="861">
        <f>ROUND(J8*(1-$B$46),2)</f>
        <v>1477</v>
      </c>
      <c r="I8" s="750">
        <f>ROUND(((H8+H16+($H$28*E21))/2.5),0)</f>
        <v>826</v>
      </c>
      <c r="J8" s="243">
        <v>1477</v>
      </c>
    </row>
    <row r="9" spans="1:10" customFormat="1" ht="36.950000000000003" customHeight="1" thickBot="1">
      <c r="A9" s="981"/>
      <c r="B9" s="986"/>
      <c r="C9" s="987"/>
      <c r="D9" s="768" t="s">
        <v>670</v>
      </c>
      <c r="E9" s="759">
        <v>4</v>
      </c>
      <c r="F9" s="759">
        <v>9.69</v>
      </c>
      <c r="G9" s="958">
        <v>80</v>
      </c>
      <c r="H9" s="769">
        <f>ROUND(J9*(1-$B$46),2)</f>
        <v>1644</v>
      </c>
      <c r="I9" s="751" t="e">
        <f>ROUND(((H9+H18+($H$28*#REF!))/2.5),0)</f>
        <v>#REF!</v>
      </c>
      <c r="J9" s="243">
        <v>1644</v>
      </c>
    </row>
    <row r="10" spans="1:10" customFormat="1" ht="10.5" customHeight="1">
      <c r="A10" s="229"/>
      <c r="B10" s="230"/>
      <c r="C10" s="231"/>
      <c r="D10" s="232"/>
      <c r="E10" s="232"/>
      <c r="F10" s="232"/>
      <c r="G10" s="233"/>
      <c r="H10" s="234"/>
      <c r="I10" s="221"/>
      <c r="J10" s="243"/>
    </row>
    <row r="11" spans="1:10" customFormat="1" ht="39.950000000000003" customHeight="1">
      <c r="A11" s="973" t="s">
        <v>401</v>
      </c>
      <c r="B11" s="973"/>
      <c r="C11" s="973"/>
      <c r="D11" s="973"/>
      <c r="E11" s="973"/>
      <c r="F11" s="973"/>
      <c r="G11" s="973"/>
      <c r="H11" s="973"/>
      <c r="I11" s="221"/>
      <c r="J11" s="244"/>
    </row>
    <row r="12" spans="1:10" customFormat="1" ht="75" customHeight="1" thickBot="1">
      <c r="A12" s="722" t="s">
        <v>200</v>
      </c>
      <c r="B12" s="988" t="s">
        <v>189</v>
      </c>
      <c r="C12" s="989"/>
      <c r="D12" s="235" t="s">
        <v>214</v>
      </c>
      <c r="E12" s="235" t="s">
        <v>212</v>
      </c>
      <c r="F12" s="235" t="s">
        <v>82</v>
      </c>
      <c r="G12" s="236" t="s">
        <v>213</v>
      </c>
      <c r="H12" s="237" t="s">
        <v>127</v>
      </c>
      <c r="I12" s="221"/>
      <c r="J12" s="245"/>
    </row>
    <row r="13" spans="1:10" customFormat="1" ht="21.95" customHeight="1">
      <c r="A13" s="790"/>
      <c r="B13" s="994" t="s">
        <v>297</v>
      </c>
      <c r="C13" s="991" t="s">
        <v>396</v>
      </c>
      <c r="D13" s="464" t="s">
        <v>76</v>
      </c>
      <c r="E13" s="222" t="s">
        <v>100</v>
      </c>
      <c r="F13" s="238">
        <v>2.4900000000000002</v>
      </c>
      <c r="G13" s="1026">
        <v>140</v>
      </c>
      <c r="H13" s="210">
        <f t="shared" ref="H13:H22" si="0">ROUND(J13*(1-$B$46),2)</f>
        <v>366</v>
      </c>
      <c r="I13" s="221"/>
      <c r="J13" s="462">
        <v>366</v>
      </c>
    </row>
    <row r="14" spans="1:10" customFormat="1" ht="21.95" customHeight="1">
      <c r="A14" s="791"/>
      <c r="B14" s="995"/>
      <c r="C14" s="990"/>
      <c r="D14" s="465" t="s">
        <v>309</v>
      </c>
      <c r="E14" s="225" t="s">
        <v>100</v>
      </c>
      <c r="F14" s="162">
        <v>3.32</v>
      </c>
      <c r="G14" s="1027"/>
      <c r="H14" s="220">
        <f t="shared" si="0"/>
        <v>444</v>
      </c>
      <c r="I14" s="221"/>
      <c r="J14" s="246">
        <v>444</v>
      </c>
    </row>
    <row r="15" spans="1:10" customFormat="1" ht="21.95" customHeight="1" thickBot="1">
      <c r="A15" s="791"/>
      <c r="B15" s="995"/>
      <c r="C15" s="990"/>
      <c r="D15" s="753" t="s">
        <v>399</v>
      </c>
      <c r="E15" s="239" t="s">
        <v>100</v>
      </c>
      <c r="F15" s="251">
        <v>4.1500000000000004</v>
      </c>
      <c r="G15" s="1027"/>
      <c r="H15" s="754">
        <f t="shared" si="0"/>
        <v>550</v>
      </c>
      <c r="I15" s="221"/>
      <c r="J15" s="246">
        <v>550</v>
      </c>
    </row>
    <row r="16" spans="1:10" customFormat="1" ht="21.95" customHeight="1">
      <c r="A16" s="791"/>
      <c r="B16" s="998" t="s">
        <v>395</v>
      </c>
      <c r="C16" s="1006" t="s">
        <v>396</v>
      </c>
      <c r="D16" s="934" t="s">
        <v>404</v>
      </c>
      <c r="E16" s="935" t="s">
        <v>100</v>
      </c>
      <c r="F16" s="936">
        <v>2.4900000000000002</v>
      </c>
      <c r="G16" s="937">
        <v>140</v>
      </c>
      <c r="H16" s="918">
        <f t="shared" si="0"/>
        <v>439</v>
      </c>
      <c r="I16" s="221"/>
      <c r="J16" s="462">
        <v>439</v>
      </c>
    </row>
    <row r="17" spans="1:10" customFormat="1" ht="21.95" customHeight="1">
      <c r="A17" s="791"/>
      <c r="B17" s="999"/>
      <c r="C17" s="1007"/>
      <c r="D17" s="876" t="s">
        <v>310</v>
      </c>
      <c r="E17" s="875" t="s">
        <v>100</v>
      </c>
      <c r="F17" s="877">
        <v>3.32</v>
      </c>
      <c r="G17" s="941">
        <v>140</v>
      </c>
      <c r="H17" s="878">
        <f t="shared" si="0"/>
        <v>519</v>
      </c>
      <c r="I17" s="221"/>
      <c r="J17" s="246">
        <v>519</v>
      </c>
    </row>
    <row r="18" spans="1:10" customFormat="1" ht="21.95" customHeight="1" thickBot="1">
      <c r="A18" s="791"/>
      <c r="B18" s="999"/>
      <c r="C18" s="1008"/>
      <c r="D18" s="938" t="s">
        <v>403</v>
      </c>
      <c r="E18" s="939" t="s">
        <v>100</v>
      </c>
      <c r="F18" s="940">
        <v>4.1500000000000004</v>
      </c>
      <c r="G18" s="942">
        <v>140</v>
      </c>
      <c r="H18" s="919">
        <f t="shared" si="0"/>
        <v>626</v>
      </c>
      <c r="I18" s="221"/>
      <c r="J18" s="246">
        <v>626</v>
      </c>
    </row>
    <row r="19" spans="1:10" customFormat="1" ht="21.95" customHeight="1">
      <c r="A19" s="791"/>
      <c r="B19" s="999"/>
      <c r="C19" s="996" t="s">
        <v>619</v>
      </c>
      <c r="D19" s="959" t="s">
        <v>403</v>
      </c>
      <c r="E19" s="960" t="s">
        <v>100</v>
      </c>
      <c r="F19" s="961">
        <v>4.45</v>
      </c>
      <c r="G19" s="1038">
        <v>96</v>
      </c>
      <c r="H19" s="962">
        <f t="shared" si="0"/>
        <v>734</v>
      </c>
      <c r="I19" s="221"/>
      <c r="J19" s="246">
        <v>734</v>
      </c>
    </row>
    <row r="20" spans="1:10" customFormat="1" ht="21.95" customHeight="1">
      <c r="A20" s="791"/>
      <c r="B20" s="999"/>
      <c r="C20" s="997"/>
      <c r="D20" s="963" t="s">
        <v>406</v>
      </c>
      <c r="E20" s="964" t="s">
        <v>100</v>
      </c>
      <c r="F20" s="965">
        <v>5.34</v>
      </c>
      <c r="G20" s="1039"/>
      <c r="H20" s="966">
        <f t="shared" si="0"/>
        <v>880</v>
      </c>
      <c r="I20" s="221"/>
      <c r="J20" s="246">
        <v>880</v>
      </c>
    </row>
    <row r="21" spans="1:10" customFormat="1" ht="21.95" customHeight="1">
      <c r="A21" s="791"/>
      <c r="B21" s="999"/>
      <c r="C21" s="1001" t="s">
        <v>397</v>
      </c>
      <c r="D21" s="650">
        <v>2</v>
      </c>
      <c r="E21" s="651">
        <v>3</v>
      </c>
      <c r="F21" s="652">
        <v>4.16</v>
      </c>
      <c r="G21" s="1024">
        <v>96</v>
      </c>
      <c r="H21" s="653">
        <f t="shared" si="0"/>
        <v>719</v>
      </c>
      <c r="I21" s="221"/>
      <c r="J21" s="247">
        <v>719</v>
      </c>
    </row>
    <row r="22" spans="1:10" customFormat="1" ht="21.95" customHeight="1" thickBot="1">
      <c r="A22" s="792"/>
      <c r="B22" s="1000"/>
      <c r="C22" s="1002"/>
      <c r="D22" s="654" t="s">
        <v>406</v>
      </c>
      <c r="E22" s="655">
        <v>5</v>
      </c>
      <c r="F22" s="656">
        <v>6.24</v>
      </c>
      <c r="G22" s="1025"/>
      <c r="H22" s="657">
        <f t="shared" si="0"/>
        <v>1079</v>
      </c>
      <c r="I22" s="221"/>
      <c r="J22" s="247">
        <v>1079</v>
      </c>
    </row>
    <row r="23" spans="1:10" customFormat="1" ht="24.95" customHeight="1">
      <c r="A23" s="1036"/>
      <c r="B23" s="990" t="s">
        <v>315</v>
      </c>
      <c r="C23" s="991" t="s">
        <v>398</v>
      </c>
      <c r="D23" s="992" t="s">
        <v>310</v>
      </c>
      <c r="E23" s="240" t="s">
        <v>52</v>
      </c>
      <c r="F23" s="1009">
        <v>1.95</v>
      </c>
      <c r="G23" s="1022">
        <v>140</v>
      </c>
      <c r="H23" s="214">
        <f t="shared" ref="H23:H27" si="1">ROUND(J23*(1-$B$46),2)</f>
        <v>412</v>
      </c>
      <c r="I23" s="221"/>
      <c r="J23" s="247">
        <v>412</v>
      </c>
    </row>
    <row r="24" spans="1:10" customFormat="1" ht="35.1" customHeight="1" thickBot="1">
      <c r="A24" s="1037"/>
      <c r="B24" s="990"/>
      <c r="C24" s="990"/>
      <c r="D24" s="993"/>
      <c r="E24" s="760" t="s">
        <v>319</v>
      </c>
      <c r="F24" s="1010"/>
      <c r="G24" s="1023"/>
      <c r="H24" s="754">
        <f t="shared" si="1"/>
        <v>437</v>
      </c>
      <c r="I24" s="221"/>
      <c r="J24" s="247">
        <v>437</v>
      </c>
    </row>
    <row r="25" spans="1:10" customFormat="1" ht="24.95" customHeight="1">
      <c r="A25" s="979"/>
      <c r="B25" s="1042" t="s">
        <v>671</v>
      </c>
      <c r="C25" s="1043"/>
      <c r="D25" s="1046" t="s">
        <v>100</v>
      </c>
      <c r="E25" s="763" t="s">
        <v>291</v>
      </c>
      <c r="F25" s="1028">
        <v>7.0000000000000007E-2</v>
      </c>
      <c r="G25" s="1015">
        <v>100</v>
      </c>
      <c r="H25" s="1011">
        <f t="shared" si="1"/>
        <v>34</v>
      </c>
      <c r="I25" s="221"/>
      <c r="J25" s="246">
        <v>34</v>
      </c>
    </row>
    <row r="26" spans="1:10" customFormat="1" ht="35.1" customHeight="1" thickBot="1">
      <c r="A26" s="981"/>
      <c r="B26" s="1044"/>
      <c r="C26" s="1045"/>
      <c r="D26" s="1047"/>
      <c r="E26" s="764" t="s">
        <v>319</v>
      </c>
      <c r="F26" s="1029"/>
      <c r="G26" s="1016"/>
      <c r="H26" s="1012"/>
      <c r="I26" s="221"/>
      <c r="J26" s="241"/>
    </row>
    <row r="27" spans="1:10" customFormat="1" ht="58.5" customHeight="1">
      <c r="A27" s="873"/>
      <c r="B27" s="1030" t="s">
        <v>10</v>
      </c>
      <c r="C27" s="1031"/>
      <c r="D27" s="761" t="s">
        <v>100</v>
      </c>
      <c r="E27" s="762" t="s">
        <v>319</v>
      </c>
      <c r="F27" s="721">
        <v>0.05</v>
      </c>
      <c r="G27" s="718">
        <v>100</v>
      </c>
      <c r="H27" s="228">
        <f t="shared" si="1"/>
        <v>41</v>
      </c>
      <c r="I27" s="221"/>
      <c r="J27" s="249">
        <v>41</v>
      </c>
    </row>
    <row r="28" spans="1:10" customFormat="1" ht="24.95" customHeight="1">
      <c r="A28" s="1035"/>
      <c r="B28" s="1040" t="s">
        <v>656</v>
      </c>
      <c r="C28" s="1040"/>
      <c r="D28" s="1041" t="s">
        <v>316</v>
      </c>
      <c r="E28" s="240" t="s">
        <v>291</v>
      </c>
      <c r="F28" s="1017">
        <v>0.1</v>
      </c>
      <c r="G28" s="1013">
        <v>100</v>
      </c>
      <c r="H28" s="1014">
        <f>ROUND(J28*(1-$B$46),2)</f>
        <v>50</v>
      </c>
      <c r="I28" s="221"/>
      <c r="J28" s="249">
        <v>50</v>
      </c>
    </row>
    <row r="29" spans="1:10" customFormat="1" ht="35.1" customHeight="1">
      <c r="A29" s="1035"/>
      <c r="B29" s="1040"/>
      <c r="C29" s="1040"/>
      <c r="D29" s="1041"/>
      <c r="E29" s="240" t="s">
        <v>319</v>
      </c>
      <c r="F29" s="1017"/>
      <c r="G29" s="1013"/>
      <c r="H29" s="1014"/>
      <c r="I29" s="221"/>
      <c r="J29" s="206"/>
    </row>
    <row r="30" spans="1:10" customFormat="1" ht="48" customHeight="1">
      <c r="A30" s="1018" t="s">
        <v>421</v>
      </c>
      <c r="B30" s="1018"/>
      <c r="C30" s="1018"/>
      <c r="D30" s="1021" t="s">
        <v>402</v>
      </c>
      <c r="E30" s="1021"/>
      <c r="F30" s="1021"/>
      <c r="G30" s="1021"/>
      <c r="H30" s="1021"/>
      <c r="I30" s="306"/>
      <c r="J30" s="241"/>
    </row>
    <row r="31" spans="1:10" customFormat="1" ht="62.25" customHeight="1">
      <c r="A31" s="1019" t="s">
        <v>422</v>
      </c>
      <c r="B31" s="1019"/>
      <c r="C31" s="1019"/>
      <c r="D31" s="1019" t="s">
        <v>419</v>
      </c>
      <c r="E31" s="1019"/>
      <c r="F31" s="1019"/>
      <c r="G31" s="1019"/>
      <c r="H31" s="1019"/>
      <c r="I31" s="306"/>
      <c r="J31" s="241"/>
    </row>
    <row r="32" spans="1:10" ht="49.5" customHeight="1" thickBot="1">
      <c r="A32" s="1019"/>
      <c r="B32" s="1019"/>
      <c r="C32" s="1019"/>
      <c r="D32" s="1020" t="s">
        <v>420</v>
      </c>
      <c r="E32" s="1020"/>
      <c r="F32" s="1020"/>
      <c r="G32" s="1020"/>
      <c r="H32" s="1020"/>
      <c r="I32" s="307"/>
    </row>
    <row r="33" spans="1:10" ht="78" customHeight="1" thickBot="1">
      <c r="A33" s="1032" t="s">
        <v>657</v>
      </c>
      <c r="B33" s="1033"/>
      <c r="C33" s="1033"/>
      <c r="D33" s="1033"/>
      <c r="E33" s="1033"/>
      <c r="F33" s="1033"/>
      <c r="G33" s="1033"/>
      <c r="H33" s="1034"/>
      <c r="I33" s="85"/>
    </row>
    <row r="34" spans="1:10" ht="78" customHeight="1">
      <c r="A34" s="305"/>
      <c r="B34" s="305"/>
      <c r="C34" s="305"/>
      <c r="D34" s="305"/>
      <c r="E34" s="305"/>
      <c r="F34" s="305"/>
      <c r="G34" s="305"/>
      <c r="H34" s="305"/>
      <c r="I34" s="85"/>
    </row>
    <row r="35" spans="1:10" ht="78" customHeight="1">
      <c r="A35" s="305"/>
      <c r="B35" s="305"/>
      <c r="C35" s="305"/>
      <c r="D35" s="305"/>
      <c r="E35" s="305"/>
      <c r="F35" s="305"/>
      <c r="G35" s="305"/>
      <c r="H35" s="305"/>
      <c r="I35" s="85"/>
    </row>
    <row r="36" spans="1:10" ht="78" customHeight="1">
      <c r="A36" s="305"/>
      <c r="B36" s="305"/>
      <c r="C36" s="305"/>
      <c r="D36" s="305"/>
      <c r="E36" s="305"/>
      <c r="F36" s="305"/>
      <c r="G36" s="305"/>
      <c r="H36" s="305"/>
      <c r="I36" s="85"/>
    </row>
    <row r="37" spans="1:10" ht="78" customHeight="1">
      <c r="A37" s="305"/>
      <c r="B37" s="305"/>
      <c r="C37" s="305"/>
      <c r="D37" s="305"/>
      <c r="E37" s="305"/>
      <c r="F37" s="305"/>
      <c r="G37" s="305"/>
      <c r="H37" s="305"/>
      <c r="I37" s="85"/>
    </row>
    <row r="38" spans="1:10" ht="78" customHeight="1">
      <c r="A38" s="305"/>
      <c r="B38" s="305"/>
      <c r="C38" s="305"/>
      <c r="D38" s="305"/>
      <c r="E38" s="305"/>
      <c r="F38" s="305"/>
      <c r="G38" s="305"/>
      <c r="H38" s="305"/>
      <c r="I38" s="85"/>
    </row>
    <row r="39" spans="1:10" ht="78" customHeight="1">
      <c r="A39" s="305"/>
      <c r="B39" s="305"/>
      <c r="C39" s="305"/>
      <c r="D39" s="305"/>
      <c r="E39" s="305"/>
      <c r="F39" s="305"/>
      <c r="G39" s="305"/>
      <c r="H39" s="305"/>
      <c r="I39" s="85"/>
    </row>
    <row r="40" spans="1:10" ht="78" customHeight="1">
      <c r="A40" s="305"/>
      <c r="B40" s="305"/>
      <c r="C40" s="305"/>
      <c r="D40" s="305"/>
      <c r="E40" s="305"/>
      <c r="F40" s="305"/>
      <c r="G40" s="305"/>
      <c r="H40" s="305"/>
      <c r="I40" s="85"/>
    </row>
    <row r="41" spans="1:10" ht="49.5" customHeight="1">
      <c r="A41" s="271"/>
      <c r="B41" s="271"/>
      <c r="C41" s="271"/>
      <c r="D41" s="271"/>
      <c r="E41" s="270"/>
      <c r="F41" s="270"/>
      <c r="G41" s="270"/>
      <c r="H41" s="270"/>
      <c r="I41" s="85"/>
    </row>
    <row r="42" spans="1:10" ht="49.5" customHeight="1">
      <c r="A42" s="271"/>
      <c r="B42" s="271"/>
      <c r="C42" s="271"/>
      <c r="D42" s="271"/>
      <c r="E42" s="270"/>
      <c r="F42" s="270"/>
      <c r="G42" s="270"/>
      <c r="H42" s="270"/>
      <c r="I42" s="85"/>
    </row>
    <row r="43" spans="1:10" ht="49.5" customHeight="1">
      <c r="A43" s="271"/>
      <c r="B43" s="271"/>
      <c r="C43" s="271"/>
      <c r="D43" s="271"/>
      <c r="E43" s="270"/>
      <c r="F43" s="270"/>
      <c r="G43" s="270"/>
      <c r="H43" s="270"/>
      <c r="I43" s="85"/>
    </row>
    <row r="44" spans="1:10" ht="49.5" customHeight="1">
      <c r="A44" s="309"/>
      <c r="B44" s="309"/>
      <c r="C44" s="309"/>
      <c r="D44" s="309"/>
      <c r="E44" s="308"/>
      <c r="F44" s="308"/>
      <c r="G44" s="308"/>
      <c r="H44" s="308"/>
      <c r="I44" s="85"/>
    </row>
    <row r="45" spans="1:10" ht="13.5" customHeight="1">
      <c r="B45" s="11"/>
      <c r="C45" s="11"/>
      <c r="D45" s="11"/>
      <c r="E45" s="11"/>
      <c r="F45" s="11"/>
      <c r="G45" s="11"/>
      <c r="H45" s="11"/>
      <c r="I45" s="1"/>
    </row>
    <row r="46" spans="1:10" ht="34.5" hidden="1" customHeight="1">
      <c r="A46" s="248" t="s">
        <v>50</v>
      </c>
      <c r="B46" s="1003">
        <v>0</v>
      </c>
      <c r="C46" s="1004"/>
      <c r="D46" s="1005"/>
      <c r="E46" s="11"/>
      <c r="F46" s="11"/>
      <c r="G46" s="11"/>
      <c r="I46" s="207"/>
      <c r="J46" s="8"/>
    </row>
    <row r="47" spans="1:10" ht="20.25">
      <c r="B47" s="33"/>
      <c r="C47" s="33"/>
      <c r="D47" s="33"/>
      <c r="E47" s="33"/>
      <c r="F47" s="33"/>
      <c r="G47" s="33"/>
      <c r="H47" s="33"/>
      <c r="I47" s="1"/>
    </row>
    <row r="48" spans="1:10" ht="20.25">
      <c r="B48" s="33"/>
      <c r="C48" s="33"/>
      <c r="D48" s="33"/>
      <c r="E48" s="33"/>
      <c r="F48" s="33"/>
      <c r="G48" s="33"/>
      <c r="H48" s="33"/>
      <c r="I48" s="1"/>
    </row>
    <row r="49" spans="2:9" ht="20.25">
      <c r="B49" s="33"/>
      <c r="C49" s="33"/>
      <c r="D49" s="33"/>
      <c r="E49" s="33"/>
      <c r="F49" s="33"/>
      <c r="G49" s="33"/>
      <c r="H49" s="33"/>
      <c r="I49" s="1"/>
    </row>
    <row r="50" spans="2:9" ht="20.25">
      <c r="B50" s="33"/>
      <c r="C50" s="33"/>
      <c r="D50" s="33"/>
      <c r="E50" s="33"/>
      <c r="F50" s="33"/>
      <c r="G50" s="33"/>
      <c r="H50" s="33"/>
      <c r="I50" s="1"/>
    </row>
    <row r="51" spans="2:9" ht="20.25">
      <c r="B51" s="37"/>
      <c r="C51" s="37"/>
      <c r="D51" s="37"/>
      <c r="E51" s="37"/>
      <c r="F51" s="37"/>
      <c r="G51" s="37"/>
      <c r="H51" s="37"/>
      <c r="I51" s="1"/>
    </row>
    <row r="52" spans="2:9">
      <c r="B52" s="5"/>
      <c r="C52" s="4"/>
      <c r="D52" s="4"/>
      <c r="E52" s="4"/>
      <c r="F52" s="4"/>
      <c r="G52" s="4"/>
      <c r="H52" s="4"/>
      <c r="I52" s="1"/>
    </row>
    <row r="53" spans="2:9">
      <c r="B53" s="5"/>
      <c r="C53" s="4"/>
      <c r="D53" s="4"/>
      <c r="E53" s="4"/>
      <c r="F53" s="4"/>
      <c r="G53" s="4"/>
      <c r="H53" s="4"/>
      <c r="I53" s="1"/>
    </row>
    <row r="54" spans="2:9">
      <c r="B54" s="7"/>
      <c r="C54" s="3"/>
      <c r="D54" s="3"/>
      <c r="E54" s="3"/>
      <c r="F54" s="3"/>
      <c r="G54" s="3"/>
      <c r="H54" s="3"/>
      <c r="I54" s="1"/>
    </row>
    <row r="55" spans="2:9">
      <c r="B55" s="7"/>
      <c r="C55" s="3"/>
      <c r="D55" s="3"/>
      <c r="E55" s="3"/>
      <c r="F55" s="3"/>
      <c r="G55" s="3"/>
      <c r="H55" s="3"/>
      <c r="I55" s="1"/>
    </row>
    <row r="56" spans="2:9">
      <c r="B56" s="2"/>
      <c r="I56" s="1"/>
    </row>
    <row r="57" spans="2:9">
      <c r="B57" s="2"/>
      <c r="I57" s="1"/>
    </row>
    <row r="58" spans="2:9">
      <c r="B58" s="2"/>
      <c r="I58" s="1"/>
    </row>
    <row r="59" spans="2:9">
      <c r="B59" s="2"/>
      <c r="I59" s="1"/>
    </row>
    <row r="60" spans="2:9">
      <c r="B60" s="2"/>
      <c r="I60" s="1"/>
    </row>
    <row r="61" spans="2:9">
      <c r="B61" s="2"/>
      <c r="I61" s="1"/>
    </row>
    <row r="62" spans="2:9">
      <c r="B62" s="2"/>
      <c r="I62" s="1"/>
    </row>
    <row r="63" spans="2:9">
      <c r="I63" s="1"/>
    </row>
    <row r="64" spans="2:9">
      <c r="I64" s="1"/>
    </row>
    <row r="65" spans="9:9">
      <c r="I65" s="1"/>
    </row>
    <row r="66" spans="9:9">
      <c r="I66" s="1"/>
    </row>
    <row r="67" spans="9:9">
      <c r="I67" s="1"/>
    </row>
    <row r="68" spans="9:9">
      <c r="I68" s="1"/>
    </row>
  </sheetData>
  <sheetProtection formatCells="0" formatColumns="0" formatRows="0" insertColumns="0" insertRows="0" insertHyperlinks="0" deleteColumns="0" deleteRows="0" sort="0" autoFilter="0" pivotTables="0"/>
  <mergeCells count="48">
    <mergeCell ref="G13:G15"/>
    <mergeCell ref="F25:F26"/>
    <mergeCell ref="B27:C27"/>
    <mergeCell ref="A33:H33"/>
    <mergeCell ref="A28:A29"/>
    <mergeCell ref="A25:A26"/>
    <mergeCell ref="A23:A24"/>
    <mergeCell ref="G19:G20"/>
    <mergeCell ref="B28:C29"/>
    <mergeCell ref="D28:D29"/>
    <mergeCell ref="B25:C26"/>
    <mergeCell ref="D25:D26"/>
    <mergeCell ref="B46:D46"/>
    <mergeCell ref="C16:C18"/>
    <mergeCell ref="F23:F24"/>
    <mergeCell ref="H25:H26"/>
    <mergeCell ref="G28:G29"/>
    <mergeCell ref="H28:H29"/>
    <mergeCell ref="G25:G26"/>
    <mergeCell ref="F28:F29"/>
    <mergeCell ref="A30:C30"/>
    <mergeCell ref="A31:C31"/>
    <mergeCell ref="A32:C32"/>
    <mergeCell ref="D31:H31"/>
    <mergeCell ref="D32:H32"/>
    <mergeCell ref="D30:H30"/>
    <mergeCell ref="G23:G24"/>
    <mergeCell ref="G21:G22"/>
    <mergeCell ref="B12:C12"/>
    <mergeCell ref="B23:B24"/>
    <mergeCell ref="C23:C24"/>
    <mergeCell ref="D23:D24"/>
    <mergeCell ref="B13:B15"/>
    <mergeCell ref="C13:C15"/>
    <mergeCell ref="C19:C20"/>
    <mergeCell ref="B16:B22"/>
    <mergeCell ref="C21:C22"/>
    <mergeCell ref="A4:H4"/>
    <mergeCell ref="H5:H6"/>
    <mergeCell ref="A11:H11"/>
    <mergeCell ref="G5:G6"/>
    <mergeCell ref="B5:C6"/>
    <mergeCell ref="A5:A6"/>
    <mergeCell ref="D5:D6"/>
    <mergeCell ref="E5:E6"/>
    <mergeCell ref="F5:F6"/>
    <mergeCell ref="A7:A9"/>
    <mergeCell ref="B7:C9"/>
  </mergeCells>
  <printOptions horizontalCentered="1"/>
  <pageMargins left="0" right="0" top="0" bottom="0" header="0" footer="0"/>
  <pageSetup paperSize="9" scale="43" orientation="portrait" r:id="rId1"/>
  <headerFooter scaleWithDoc="0">
    <oddFooter>&amp;R&amp;"Arial Cyr,полужирный"&amp;8стр. &amp;P из &amp;N &amp;"Arial Cyr,обычный"&amp;A</oddFooter>
  </headerFooter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>
    <tabColor rgb="FFC00000"/>
    <pageSetUpPr fitToPage="1"/>
  </sheetPr>
  <dimension ref="A1:M28"/>
  <sheetViews>
    <sheetView showGridLines="0" topLeftCell="A19" zoomScale="55" zoomScaleNormal="55" zoomScaleSheetLayoutView="40" zoomScalePageLayoutView="19" workbookViewId="0">
      <selection activeCell="A22" sqref="A22"/>
    </sheetView>
  </sheetViews>
  <sheetFormatPr defaultRowHeight="20.25"/>
  <cols>
    <col min="1" max="1" width="25.7109375" style="11" customWidth="1"/>
    <col min="2" max="2" width="30.42578125" style="11" customWidth="1"/>
    <col min="3" max="3" width="24.42578125" style="11" customWidth="1"/>
    <col min="4" max="4" width="17.28515625" style="11" customWidth="1"/>
    <col min="5" max="12" width="17.7109375" style="11" customWidth="1"/>
    <col min="13" max="13" width="13.85546875" style="11" hidden="1" customWidth="1"/>
    <col min="14" max="16384" width="9.140625" style="11"/>
  </cols>
  <sheetData>
    <row r="1" spans="1:13" ht="75.75" customHeight="1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59"/>
    </row>
    <row r="2" spans="1:13" ht="33" customHeight="1">
      <c r="B2" s="633"/>
      <c r="C2" s="633"/>
      <c r="D2" s="1399" t="s">
        <v>559</v>
      </c>
      <c r="E2" s="1399"/>
      <c r="F2" s="1399"/>
      <c r="G2" s="1399"/>
      <c r="H2" s="1399"/>
      <c r="I2" s="1399"/>
      <c r="J2" s="633"/>
      <c r="K2" s="383"/>
      <c r="L2" s="532"/>
      <c r="M2" s="61"/>
    </row>
    <row r="3" spans="1:13" ht="50.1" customHeight="1">
      <c r="A3" s="609" t="s">
        <v>200</v>
      </c>
      <c r="B3" s="609" t="s">
        <v>543</v>
      </c>
      <c r="C3" s="609" t="s">
        <v>539</v>
      </c>
      <c r="D3" s="1324" t="s">
        <v>540</v>
      </c>
      <c r="E3" s="1389"/>
      <c r="F3" s="1389"/>
      <c r="G3" s="1325"/>
      <c r="H3" s="1324" t="s">
        <v>541</v>
      </c>
      <c r="I3" s="1325"/>
      <c r="J3" s="1324" t="s">
        <v>542</v>
      </c>
      <c r="K3" s="1325"/>
      <c r="L3" s="609" t="s">
        <v>294</v>
      </c>
      <c r="M3" s="622"/>
    </row>
    <row r="4" spans="1:13" ht="30" customHeight="1">
      <c r="A4" s="1728" t="s">
        <v>589</v>
      </c>
      <c r="B4" s="1729"/>
      <c r="C4" s="1729"/>
      <c r="D4" s="1729"/>
      <c r="E4" s="1729"/>
      <c r="F4" s="1729"/>
      <c r="G4" s="1729"/>
      <c r="H4" s="1729"/>
      <c r="I4" s="1729"/>
      <c r="J4" s="1729"/>
      <c r="K4" s="1729"/>
      <c r="L4" s="1730"/>
      <c r="M4" s="622"/>
    </row>
    <row r="5" spans="1:13" ht="90" customHeight="1">
      <c r="A5" s="619"/>
      <c r="B5" s="608" t="s">
        <v>581</v>
      </c>
      <c r="C5" s="616" t="s">
        <v>544</v>
      </c>
      <c r="D5" s="1281" t="s">
        <v>546</v>
      </c>
      <c r="E5" s="1281"/>
      <c r="F5" s="1281"/>
      <c r="G5" s="1281"/>
      <c r="H5" s="1739" t="s">
        <v>550</v>
      </c>
      <c r="I5" s="1739"/>
      <c r="J5" s="1258" t="s">
        <v>591</v>
      </c>
      <c r="K5" s="1259"/>
      <c r="L5" s="613">
        <f>ROUND(M5*(1-$E$26),2)</f>
        <v>55000</v>
      </c>
      <c r="M5" s="626">
        <v>55000</v>
      </c>
    </row>
    <row r="6" spans="1:13" ht="90" customHeight="1">
      <c r="A6" s="607"/>
      <c r="B6" s="608" t="s">
        <v>582</v>
      </c>
      <c r="C6" s="616" t="s">
        <v>544</v>
      </c>
      <c r="D6" s="1281" t="s">
        <v>547</v>
      </c>
      <c r="E6" s="1281"/>
      <c r="F6" s="1281"/>
      <c r="G6" s="1281"/>
      <c r="H6" s="1739" t="s">
        <v>551</v>
      </c>
      <c r="I6" s="1739"/>
      <c r="J6" s="1740"/>
      <c r="K6" s="1741"/>
      <c r="L6" s="613">
        <f>ROUND(M6*(1-$E$26),2)</f>
        <v>60000</v>
      </c>
      <c r="M6" s="626">
        <v>60000</v>
      </c>
    </row>
    <row r="7" spans="1:13" ht="90" customHeight="1">
      <c r="A7" s="607"/>
      <c r="B7" s="608" t="s">
        <v>558</v>
      </c>
      <c r="C7" s="616" t="s">
        <v>545</v>
      </c>
      <c r="D7" s="1281" t="s">
        <v>548</v>
      </c>
      <c r="E7" s="1281"/>
      <c r="F7" s="1281"/>
      <c r="G7" s="1281"/>
      <c r="H7" s="1739" t="s">
        <v>552</v>
      </c>
      <c r="I7" s="1739"/>
      <c r="J7" s="1260"/>
      <c r="K7" s="1261"/>
      <c r="L7" s="613">
        <f>ROUND(M7*(1-$E$26),2)</f>
        <v>75000</v>
      </c>
      <c r="M7" s="626">
        <v>75000</v>
      </c>
    </row>
    <row r="8" spans="1:13" ht="24.95" customHeight="1">
      <c r="A8" s="1728" t="s">
        <v>590</v>
      </c>
      <c r="B8" s="1729"/>
      <c r="C8" s="1729"/>
      <c r="D8" s="1729"/>
      <c r="E8" s="1729"/>
      <c r="F8" s="1729"/>
      <c r="G8" s="1729"/>
      <c r="H8" s="1729"/>
      <c r="I8" s="1729"/>
      <c r="J8" s="1729"/>
      <c r="K8" s="1729"/>
      <c r="L8" s="1730"/>
      <c r="M8" s="622"/>
    </row>
    <row r="9" spans="1:13" ht="110.1" customHeight="1">
      <c r="A9" s="634"/>
      <c r="B9" s="608" t="s">
        <v>583</v>
      </c>
      <c r="C9" s="608" t="s">
        <v>544</v>
      </c>
      <c r="D9" s="1478" t="s">
        <v>563</v>
      </c>
      <c r="E9" s="1742"/>
      <c r="F9" s="1742"/>
      <c r="G9" s="1742"/>
      <c r="H9" s="1739" t="s">
        <v>566</v>
      </c>
      <c r="I9" s="1739"/>
      <c r="J9" s="1263" t="s">
        <v>591</v>
      </c>
      <c r="K9" s="1731"/>
      <c r="L9" s="613">
        <f>ROUND(M9*(1-$E$26),2)</f>
        <v>70000</v>
      </c>
      <c r="M9" s="626">
        <v>70000</v>
      </c>
    </row>
    <row r="10" spans="1:13" s="36" customFormat="1" ht="90" customHeight="1">
      <c r="A10" s="607"/>
      <c r="B10" s="608" t="s">
        <v>560</v>
      </c>
      <c r="C10" s="608" t="s">
        <v>545</v>
      </c>
      <c r="D10" s="1281" t="s">
        <v>564</v>
      </c>
      <c r="E10" s="1743"/>
      <c r="F10" s="1743"/>
      <c r="G10" s="1743"/>
      <c r="H10" s="1744" t="s">
        <v>567</v>
      </c>
      <c r="I10" s="1745"/>
      <c r="J10" s="1732"/>
      <c r="K10" s="1733"/>
      <c r="L10" s="613">
        <f>ROUND(M10*(1-$E$26),2)</f>
        <v>88315</v>
      </c>
      <c r="M10" s="626">
        <v>88315</v>
      </c>
    </row>
    <row r="11" spans="1:13" s="36" customFormat="1" ht="90" customHeight="1">
      <c r="A11" s="619"/>
      <c r="B11" s="608" t="s">
        <v>561</v>
      </c>
      <c r="C11" s="164" t="s">
        <v>562</v>
      </c>
      <c r="D11" s="1478" t="s">
        <v>565</v>
      </c>
      <c r="E11" s="1478"/>
      <c r="F11" s="1478"/>
      <c r="G11" s="1478"/>
      <c r="H11" s="1746" t="s">
        <v>568</v>
      </c>
      <c r="I11" s="1747"/>
      <c r="J11" s="1734" t="s">
        <v>100</v>
      </c>
      <c r="K11" s="1735"/>
      <c r="L11" s="613">
        <f>ROUND(M11*(1-$E$26),2)</f>
        <v>9749</v>
      </c>
      <c r="M11" s="626">
        <v>9749</v>
      </c>
    </row>
    <row r="12" spans="1:13" s="36" customFormat="1" ht="20.100000000000001" customHeight="1">
      <c r="A12" s="632"/>
      <c r="B12" s="614"/>
      <c r="C12" s="37"/>
      <c r="D12" s="612"/>
      <c r="E12" s="612"/>
      <c r="F12" s="612"/>
      <c r="G12" s="612"/>
      <c r="H12" s="635"/>
      <c r="I12" s="635"/>
      <c r="J12" s="571"/>
      <c r="K12" s="571"/>
      <c r="L12" s="615"/>
      <c r="M12" s="626"/>
    </row>
    <row r="13" spans="1:13" s="36" customFormat="1" ht="50.1" customHeight="1">
      <c r="A13" s="1736" t="s">
        <v>592</v>
      </c>
      <c r="B13" s="1737"/>
      <c r="C13" s="1737"/>
      <c r="D13" s="1737"/>
      <c r="E13" s="1737"/>
      <c r="F13" s="1737"/>
      <c r="G13" s="1737"/>
      <c r="H13" s="1737"/>
      <c r="I13" s="1737"/>
      <c r="J13" s="1737"/>
      <c r="K13" s="1737"/>
      <c r="L13" s="1738"/>
      <c r="M13" s="626"/>
    </row>
    <row r="14" spans="1:13" s="36" customFormat="1" ht="24.95" customHeight="1">
      <c r="A14" s="1728" t="s">
        <v>594</v>
      </c>
      <c r="B14" s="1729"/>
      <c r="C14" s="1729"/>
      <c r="D14" s="1729"/>
      <c r="E14" s="1729"/>
      <c r="F14" s="1729"/>
      <c r="G14" s="1729"/>
      <c r="H14" s="1729"/>
      <c r="I14" s="1729"/>
      <c r="J14" s="1729"/>
      <c r="K14" s="1729"/>
      <c r="L14" s="1730"/>
      <c r="M14" s="626"/>
    </row>
    <row r="15" spans="1:13" s="36" customFormat="1" ht="69.95" customHeight="1">
      <c r="A15" s="619"/>
      <c r="B15" s="1227" t="s">
        <v>584</v>
      </c>
      <c r="C15" s="1227"/>
      <c r="D15" s="1361" t="s">
        <v>569</v>
      </c>
      <c r="E15" s="1361"/>
      <c r="F15" s="1361"/>
      <c r="G15" s="1361" t="s">
        <v>574</v>
      </c>
      <c r="H15" s="1361"/>
      <c r="I15" s="1360" t="s">
        <v>100</v>
      </c>
      <c r="J15" s="1360"/>
      <c r="K15" s="1360"/>
      <c r="L15" s="613">
        <f>ROUND(M15*(1-$E$26),2)</f>
        <v>1210</v>
      </c>
      <c r="M15" s="626">
        <v>1210</v>
      </c>
    </row>
    <row r="16" spans="1:13" s="36" customFormat="1" ht="69.95" customHeight="1">
      <c r="A16" s="619"/>
      <c r="B16" s="1361" t="s">
        <v>585</v>
      </c>
      <c r="C16" s="1361"/>
      <c r="D16" s="1361" t="s">
        <v>570</v>
      </c>
      <c r="E16" s="1361"/>
      <c r="F16" s="1361"/>
      <c r="G16" s="1361" t="s">
        <v>575</v>
      </c>
      <c r="H16" s="1361"/>
      <c r="I16" s="1360" t="s">
        <v>100</v>
      </c>
      <c r="J16" s="1360"/>
      <c r="K16" s="1360"/>
      <c r="L16" s="610">
        <f t="shared" ref="L16:L20" si="0">ROUND(M16*(1-$E$26),2)</f>
        <v>2664</v>
      </c>
      <c r="M16" s="626">
        <v>2664</v>
      </c>
    </row>
    <row r="17" spans="1:13" s="36" customFormat="1" ht="24.95" customHeight="1">
      <c r="A17" s="1728" t="s">
        <v>593</v>
      </c>
      <c r="B17" s="1729"/>
      <c r="C17" s="1729"/>
      <c r="D17" s="1729"/>
      <c r="E17" s="1729"/>
      <c r="F17" s="1729"/>
      <c r="G17" s="1729"/>
      <c r="H17" s="1729"/>
      <c r="I17" s="1729"/>
      <c r="J17" s="1729"/>
      <c r="K17" s="1729"/>
      <c r="L17" s="1730"/>
      <c r="M17" s="626"/>
    </row>
    <row r="18" spans="1:13" s="36" customFormat="1" ht="69.95" customHeight="1">
      <c r="A18" s="619"/>
      <c r="B18" s="1361" t="s">
        <v>586</v>
      </c>
      <c r="C18" s="1360"/>
      <c r="D18" s="1361" t="s">
        <v>571</v>
      </c>
      <c r="E18" s="1361"/>
      <c r="F18" s="1361"/>
      <c r="G18" s="1361" t="s">
        <v>576</v>
      </c>
      <c r="H18" s="1361"/>
      <c r="I18" s="1360" t="s">
        <v>100</v>
      </c>
      <c r="J18" s="1360"/>
      <c r="K18" s="1360"/>
      <c r="L18" s="610">
        <f t="shared" si="0"/>
        <v>5537</v>
      </c>
      <c r="M18" s="637">
        <v>5537</v>
      </c>
    </row>
    <row r="19" spans="1:13" s="36" customFormat="1" ht="69.95" customHeight="1">
      <c r="A19" s="619"/>
      <c r="B19" s="1361" t="s">
        <v>587</v>
      </c>
      <c r="C19" s="1361"/>
      <c r="D19" s="1361" t="s">
        <v>572</v>
      </c>
      <c r="E19" s="1361"/>
      <c r="F19" s="1361"/>
      <c r="G19" s="1361" t="s">
        <v>577</v>
      </c>
      <c r="H19" s="1361"/>
      <c r="I19" s="1360" t="s">
        <v>579</v>
      </c>
      <c r="J19" s="1360"/>
      <c r="K19" s="1360"/>
      <c r="L19" s="610">
        <f t="shared" si="0"/>
        <v>2234</v>
      </c>
      <c r="M19" s="637">
        <v>2234</v>
      </c>
    </row>
    <row r="20" spans="1:13" s="36" customFormat="1" ht="69.95" customHeight="1">
      <c r="A20" s="619"/>
      <c r="B20" s="1361" t="s">
        <v>588</v>
      </c>
      <c r="C20" s="1360"/>
      <c r="D20" s="1361" t="s">
        <v>573</v>
      </c>
      <c r="E20" s="1361"/>
      <c r="F20" s="1361"/>
      <c r="G20" s="1361" t="s">
        <v>578</v>
      </c>
      <c r="H20" s="1361"/>
      <c r="I20" s="1360" t="s">
        <v>580</v>
      </c>
      <c r="J20" s="1360"/>
      <c r="K20" s="1360"/>
      <c r="L20" s="610">
        <f t="shared" si="0"/>
        <v>3096</v>
      </c>
      <c r="M20" s="637">
        <v>3096</v>
      </c>
    </row>
    <row r="21" spans="1:13" ht="20.100000000000001" customHeight="1">
      <c r="B21" s="636"/>
      <c r="C21" s="636"/>
      <c r="D21" s="636"/>
      <c r="E21" s="636"/>
      <c r="F21" s="636"/>
      <c r="G21" s="636"/>
      <c r="H21" s="628"/>
      <c r="I21" s="628"/>
      <c r="J21" s="628"/>
      <c r="K21" s="628"/>
      <c r="L21" s="628"/>
    </row>
    <row r="22" spans="1:13" ht="24.95" customHeight="1">
      <c r="A22" s="381"/>
      <c r="H22" s="385"/>
      <c r="I22" s="385"/>
      <c r="J22" s="385"/>
      <c r="K22" s="385"/>
      <c r="L22" s="385"/>
    </row>
    <row r="23" spans="1:13" ht="24.95" customHeight="1">
      <c r="A23" s="11" t="s">
        <v>386</v>
      </c>
    </row>
    <row r="24" spans="1:13" ht="24.95" customHeight="1"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33"/>
      <c r="M24" s="64"/>
    </row>
    <row r="25" spans="1:13" ht="24" customHeight="1">
      <c r="A25" s="62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64"/>
      <c r="M25" s="64"/>
    </row>
    <row r="26" spans="1:13" ht="67.5" hidden="1" customHeight="1">
      <c r="A26" s="1409" t="s">
        <v>115</v>
      </c>
      <c r="B26" s="1409"/>
      <c r="C26" s="1409"/>
      <c r="D26" s="1409"/>
      <c r="E26" s="1410">
        <v>0</v>
      </c>
      <c r="F26" s="1410"/>
      <c r="G26" s="64"/>
      <c r="H26" s="64"/>
      <c r="I26" s="64"/>
      <c r="J26" s="64"/>
      <c r="K26" s="64"/>
      <c r="L26" s="64"/>
      <c r="M26" s="81"/>
    </row>
    <row r="27" spans="1:13" ht="14.25" customHeight="1">
      <c r="A27" s="59"/>
      <c r="B27" s="59"/>
      <c r="C27" s="59"/>
      <c r="D27" s="59"/>
      <c r="E27" s="59"/>
      <c r="F27" s="59"/>
      <c r="G27" s="64"/>
      <c r="H27" s="64"/>
      <c r="I27" s="59"/>
      <c r="J27" s="59"/>
      <c r="K27" s="59"/>
      <c r="L27" s="59"/>
      <c r="M27" s="59"/>
    </row>
    <row r="28" spans="1:13" ht="18" customHeight="1">
      <c r="G28" s="33"/>
      <c r="H28" s="33"/>
    </row>
  </sheetData>
  <dataConsolidate/>
  <mergeCells count="46">
    <mergeCell ref="D2:I2"/>
    <mergeCell ref="A4:L4"/>
    <mergeCell ref="D3:G3"/>
    <mergeCell ref="H3:I3"/>
    <mergeCell ref="J3:K3"/>
    <mergeCell ref="D5:G5"/>
    <mergeCell ref="H5:I5"/>
    <mergeCell ref="J5:K7"/>
    <mergeCell ref="A26:D26"/>
    <mergeCell ref="E26:F26"/>
    <mergeCell ref="D6:G6"/>
    <mergeCell ref="H6:I6"/>
    <mergeCell ref="D7:G7"/>
    <mergeCell ref="H7:I7"/>
    <mergeCell ref="A8:L8"/>
    <mergeCell ref="D9:G9"/>
    <mergeCell ref="D10:G10"/>
    <mergeCell ref="D11:G11"/>
    <mergeCell ref="H9:I9"/>
    <mergeCell ref="H10:I10"/>
    <mergeCell ref="H11:I11"/>
    <mergeCell ref="J9:K10"/>
    <mergeCell ref="J11:K11"/>
    <mergeCell ref="B15:C15"/>
    <mergeCell ref="B16:C16"/>
    <mergeCell ref="D15:F15"/>
    <mergeCell ref="D16:F16"/>
    <mergeCell ref="A14:L14"/>
    <mergeCell ref="I15:K15"/>
    <mergeCell ref="G15:H15"/>
    <mergeCell ref="A13:L13"/>
    <mergeCell ref="I19:K19"/>
    <mergeCell ref="I20:K20"/>
    <mergeCell ref="I18:K18"/>
    <mergeCell ref="I16:K16"/>
    <mergeCell ref="B19:C19"/>
    <mergeCell ref="B20:C20"/>
    <mergeCell ref="D18:F18"/>
    <mergeCell ref="D19:F19"/>
    <mergeCell ref="D20:F20"/>
    <mergeCell ref="B18:C18"/>
    <mergeCell ref="G16:H16"/>
    <mergeCell ref="G18:H18"/>
    <mergeCell ref="G19:H19"/>
    <mergeCell ref="G20:H20"/>
    <mergeCell ref="A17:L17"/>
  </mergeCells>
  <printOptions horizontalCentered="1"/>
  <pageMargins left="0" right="0" top="0" bottom="0" header="0" footer="0"/>
  <pageSetup paperSize="9" scale="43" fitToHeight="0" orientation="portrait" r:id="rId1"/>
  <headerFooter scaleWithDoc="0">
    <oddFooter>&amp;R&amp;"Arial Cyr,полужирный"&amp;8стр. &amp;P из &amp;N &amp;"Arial Cyr,обычный"&amp;A</oddFooter>
  </headerFooter>
  <drawing r:id="rId2"/>
  <legacyDrawing r:id="rId3"/>
  <oleObjects>
    <oleObject progId="CorelDRAW.Graphic.13" shapeId="151553" r:id="rId4"/>
    <oleObject progId="CorelDRAW.Graphic.13" shapeId="151554" r:id="rId5"/>
  </oleObject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>
    <tabColor rgb="FFC00000"/>
    <pageSetUpPr fitToPage="1"/>
  </sheetPr>
  <dimension ref="A1:N98"/>
  <sheetViews>
    <sheetView showGridLines="0" topLeftCell="A55" zoomScale="55" zoomScaleNormal="55" zoomScaleSheetLayoutView="25" zoomScalePageLayoutView="40" workbookViewId="0">
      <selection activeCell="H2" sqref="H2"/>
    </sheetView>
  </sheetViews>
  <sheetFormatPr defaultRowHeight="18"/>
  <cols>
    <col min="1" max="1" width="37.85546875" style="54" customWidth="1"/>
    <col min="2" max="2" width="44.7109375" style="54" customWidth="1"/>
    <col min="3" max="3" width="44.7109375" style="56" customWidth="1"/>
    <col min="4" max="4" width="22.5703125" style="56" customWidth="1"/>
    <col min="5" max="5" width="22.140625" style="54" customWidth="1"/>
    <col min="6" max="6" width="20.85546875" style="54" customWidth="1"/>
    <col min="7" max="8" width="22.7109375" style="54" customWidth="1"/>
    <col min="9" max="9" width="21" style="54" customWidth="1"/>
    <col min="10" max="10" width="11" style="600" hidden="1" customWidth="1"/>
    <col min="11" max="12" width="11" style="603" customWidth="1"/>
    <col min="13" max="105" width="5.5703125" style="54" customWidth="1"/>
    <col min="106" max="16384" width="9.140625" style="54"/>
  </cols>
  <sheetData>
    <row r="1" spans="1:12" ht="75.75" customHeight="1">
      <c r="A1" s="148"/>
      <c r="B1" s="148"/>
      <c r="C1" s="148"/>
      <c r="D1" s="148"/>
      <c r="E1" s="148"/>
      <c r="F1" s="148"/>
      <c r="G1" s="148"/>
      <c r="H1" s="148"/>
      <c r="I1" s="148"/>
    </row>
    <row r="2" spans="1:12" ht="33" customHeight="1">
      <c r="B2" s="531"/>
      <c r="C2" s="1826" t="s">
        <v>495</v>
      </c>
      <c r="D2" s="1826"/>
      <c r="E2" s="1826"/>
      <c r="F2" s="592"/>
      <c r="G2" s="531"/>
      <c r="H2" s="383"/>
      <c r="I2" s="532"/>
    </row>
    <row r="3" spans="1:12" ht="20.25">
      <c r="A3" s="1797" t="s">
        <v>189</v>
      </c>
      <c r="B3" s="1797" t="s">
        <v>200</v>
      </c>
      <c r="C3" s="1797" t="s">
        <v>177</v>
      </c>
      <c r="D3" s="1767" t="s">
        <v>281</v>
      </c>
      <c r="E3" s="1799"/>
      <c r="F3" s="1768"/>
      <c r="G3" s="1800" t="s">
        <v>265</v>
      </c>
      <c r="H3" s="1801"/>
      <c r="I3" s="1765" t="s">
        <v>99</v>
      </c>
      <c r="J3" s="602" t="s">
        <v>66</v>
      </c>
      <c r="K3" s="604"/>
      <c r="L3" s="604"/>
    </row>
    <row r="4" spans="1:12" ht="20.25">
      <c r="A4" s="1798"/>
      <c r="B4" s="1798"/>
      <c r="C4" s="1798"/>
      <c r="D4" s="1767" t="s">
        <v>266</v>
      </c>
      <c r="E4" s="1768"/>
      <c r="F4" s="511" t="s">
        <v>267</v>
      </c>
      <c r="G4" s="1802"/>
      <c r="H4" s="1803"/>
      <c r="I4" s="1766"/>
      <c r="J4" s="600" t="s">
        <v>534</v>
      </c>
    </row>
    <row r="5" spans="1:12" ht="50.1" customHeight="1">
      <c r="A5" s="1433" t="s">
        <v>339</v>
      </c>
      <c r="B5" s="1791"/>
      <c r="C5" s="1794" t="s">
        <v>340</v>
      </c>
      <c r="D5" s="1792" t="s">
        <v>268</v>
      </c>
      <c r="E5" s="1793"/>
      <c r="F5" s="1788" t="s">
        <v>269</v>
      </c>
      <c r="G5" s="575" t="s">
        <v>293</v>
      </c>
      <c r="H5" s="576" t="s">
        <v>341</v>
      </c>
      <c r="I5" s="1772">
        <f>ROUND(J5*(1-$G$65),2)</f>
        <v>5450</v>
      </c>
      <c r="J5" s="1848">
        <v>5450</v>
      </c>
    </row>
    <row r="6" spans="1:12" ht="24.95" customHeight="1">
      <c r="A6" s="1434"/>
      <c r="B6" s="1770"/>
      <c r="C6" s="1795"/>
      <c r="D6" s="1777"/>
      <c r="E6" s="1779"/>
      <c r="F6" s="1789"/>
      <c r="G6" s="574" t="s">
        <v>270</v>
      </c>
      <c r="H6" s="577" t="s">
        <v>271</v>
      </c>
      <c r="I6" s="1772"/>
      <c r="J6" s="1848"/>
    </row>
    <row r="7" spans="1:12" ht="24.95" customHeight="1">
      <c r="A7" s="1434"/>
      <c r="B7" s="1770"/>
      <c r="C7" s="1795"/>
      <c r="D7" s="1777"/>
      <c r="E7" s="1779"/>
      <c r="F7" s="1789"/>
      <c r="G7" s="574" t="s">
        <v>272</v>
      </c>
      <c r="H7" s="577" t="s">
        <v>273</v>
      </c>
      <c r="I7" s="1772"/>
      <c r="J7" s="1848"/>
    </row>
    <row r="8" spans="1:12" ht="24.95" customHeight="1">
      <c r="A8" s="1434"/>
      <c r="B8" s="1771"/>
      <c r="C8" s="1796"/>
      <c r="D8" s="1780"/>
      <c r="E8" s="1782"/>
      <c r="F8" s="1790"/>
      <c r="G8" s="573" t="s">
        <v>274</v>
      </c>
      <c r="H8" s="578" t="s">
        <v>275</v>
      </c>
      <c r="I8" s="1772"/>
      <c r="J8" s="1848"/>
    </row>
    <row r="9" spans="1:12" ht="75" customHeight="1" thickBot="1">
      <c r="A9" s="1434"/>
      <c r="B9" s="533"/>
      <c r="C9" s="522" t="s">
        <v>342</v>
      </c>
      <c r="D9" s="1792" t="s">
        <v>343</v>
      </c>
      <c r="E9" s="1793"/>
      <c r="F9" s="548" t="s">
        <v>268</v>
      </c>
      <c r="G9" s="549" t="s">
        <v>344</v>
      </c>
      <c r="H9" s="549" t="s">
        <v>345</v>
      </c>
      <c r="I9" s="593">
        <f>ROUND(J9*(1-$G$65),2)</f>
        <v>910</v>
      </c>
      <c r="J9" s="601">
        <v>910</v>
      </c>
    </row>
    <row r="10" spans="1:12" ht="24.95" customHeight="1">
      <c r="A10" s="1845" t="s">
        <v>346</v>
      </c>
      <c r="B10" s="1769"/>
      <c r="C10" s="1785" t="s">
        <v>347</v>
      </c>
      <c r="D10" s="1774" t="s">
        <v>268</v>
      </c>
      <c r="E10" s="1776"/>
      <c r="F10" s="1804" t="s">
        <v>269</v>
      </c>
      <c r="G10" s="579" t="s">
        <v>293</v>
      </c>
      <c r="H10" s="580">
        <v>6005</v>
      </c>
      <c r="I10" s="1773">
        <f>ROUND(J10*(1-$G$65),2)</f>
        <v>13800</v>
      </c>
      <c r="J10" s="1848">
        <v>13800</v>
      </c>
    </row>
    <row r="11" spans="1:12" ht="24.95" customHeight="1">
      <c r="A11" s="1846"/>
      <c r="B11" s="1770"/>
      <c r="C11" s="1786"/>
      <c r="D11" s="1777"/>
      <c r="E11" s="1779"/>
      <c r="F11" s="1789"/>
      <c r="G11" s="584" t="s">
        <v>270</v>
      </c>
      <c r="H11" s="577" t="s">
        <v>136</v>
      </c>
      <c r="I11" s="1772"/>
      <c r="J11" s="1848"/>
    </row>
    <row r="12" spans="1:12" ht="24.95" customHeight="1">
      <c r="A12" s="1846"/>
      <c r="B12" s="1770"/>
      <c r="C12" s="1786"/>
      <c r="D12" s="1777"/>
      <c r="E12" s="1779"/>
      <c r="F12" s="1789"/>
      <c r="G12" s="584" t="s">
        <v>272</v>
      </c>
      <c r="H12" s="577" t="s">
        <v>273</v>
      </c>
      <c r="I12" s="1772"/>
      <c r="J12" s="1848"/>
    </row>
    <row r="13" spans="1:12" ht="24.95" customHeight="1">
      <c r="A13" s="1846"/>
      <c r="B13" s="1771"/>
      <c r="C13" s="1787"/>
      <c r="D13" s="1780"/>
      <c r="E13" s="1782"/>
      <c r="F13" s="1790"/>
      <c r="G13" s="583" t="s">
        <v>274</v>
      </c>
      <c r="H13" s="586" t="s">
        <v>275</v>
      </c>
      <c r="I13" s="1772"/>
      <c r="J13" s="1848"/>
    </row>
    <row r="14" spans="1:12" ht="75" customHeight="1" thickBot="1">
      <c r="A14" s="1847"/>
      <c r="B14" s="587"/>
      <c r="C14" s="515" t="s">
        <v>342</v>
      </c>
      <c r="D14" s="1783" t="s">
        <v>343</v>
      </c>
      <c r="E14" s="1784"/>
      <c r="F14" s="535" t="s">
        <v>268</v>
      </c>
      <c r="G14" s="585" t="s">
        <v>344</v>
      </c>
      <c r="H14" s="585" t="s">
        <v>345</v>
      </c>
      <c r="I14" s="594">
        <f>ROUND(J14*(1-$G$65),2)</f>
        <v>910</v>
      </c>
      <c r="J14" s="601">
        <v>910</v>
      </c>
    </row>
    <row r="15" spans="1:12" ht="24.95" customHeight="1">
      <c r="A15" s="1827" t="s">
        <v>348</v>
      </c>
      <c r="B15" s="1804"/>
      <c r="C15" s="1785" t="s">
        <v>349</v>
      </c>
      <c r="D15" s="1774" t="s">
        <v>268</v>
      </c>
      <c r="E15" s="1775"/>
      <c r="F15" s="1776"/>
      <c r="G15" s="579" t="s">
        <v>293</v>
      </c>
      <c r="H15" s="580">
        <v>6005.9004999999997</v>
      </c>
      <c r="I15" s="1773">
        <f>ROUND(J15*(1-$G$65),2)</f>
        <v>3400</v>
      </c>
      <c r="J15" s="1848">
        <v>3400</v>
      </c>
    </row>
    <row r="16" spans="1:12" ht="24.95" customHeight="1">
      <c r="A16" s="1434"/>
      <c r="B16" s="1789"/>
      <c r="C16" s="1786"/>
      <c r="D16" s="1777"/>
      <c r="E16" s="1778"/>
      <c r="F16" s="1779"/>
      <c r="G16" s="574" t="s">
        <v>270</v>
      </c>
      <c r="H16" s="577" t="s">
        <v>137</v>
      </c>
      <c r="I16" s="1438"/>
      <c r="J16" s="1848"/>
    </row>
    <row r="17" spans="1:10" ht="24.95" customHeight="1">
      <c r="A17" s="1434"/>
      <c r="B17" s="1789"/>
      <c r="C17" s="1786"/>
      <c r="D17" s="1777"/>
      <c r="E17" s="1778"/>
      <c r="F17" s="1779"/>
      <c r="G17" s="574" t="s">
        <v>272</v>
      </c>
      <c r="H17" s="577" t="s">
        <v>138</v>
      </c>
      <c r="I17" s="1772"/>
      <c r="J17" s="1848"/>
    </row>
    <row r="18" spans="1:10" ht="24.95" customHeight="1">
      <c r="A18" s="1434"/>
      <c r="B18" s="1790"/>
      <c r="C18" s="1787"/>
      <c r="D18" s="1780"/>
      <c r="E18" s="1781"/>
      <c r="F18" s="1782"/>
      <c r="G18" s="573" t="s">
        <v>274</v>
      </c>
      <c r="H18" s="578" t="s">
        <v>275</v>
      </c>
      <c r="I18" s="1772"/>
      <c r="J18" s="1848"/>
    </row>
    <row r="19" spans="1:10" ht="75" customHeight="1" thickBot="1">
      <c r="A19" s="1828"/>
      <c r="B19" s="535"/>
      <c r="C19" s="515" t="s">
        <v>342</v>
      </c>
      <c r="D19" s="1783" t="s">
        <v>343</v>
      </c>
      <c r="E19" s="1784"/>
      <c r="F19" s="535" t="s">
        <v>268</v>
      </c>
      <c r="G19" s="550" t="s">
        <v>344</v>
      </c>
      <c r="H19" s="550" t="s">
        <v>345</v>
      </c>
      <c r="I19" s="594">
        <f>ROUND(J19*(1-$G$65),2)</f>
        <v>910</v>
      </c>
      <c r="J19" s="601">
        <v>910</v>
      </c>
    </row>
    <row r="20" spans="1:10" ht="50.25" hidden="1" customHeight="1">
      <c r="A20" s="536" t="s">
        <v>350</v>
      </c>
      <c r="B20" s="537"/>
      <c r="C20" s="538" t="s">
        <v>139</v>
      </c>
      <c r="D20" s="539" t="s">
        <v>268</v>
      </c>
      <c r="E20" s="539"/>
      <c r="F20" s="540"/>
      <c r="G20" s="534"/>
      <c r="H20" s="534"/>
      <c r="I20" s="595">
        <v>4530</v>
      </c>
      <c r="J20" s="601"/>
    </row>
    <row r="21" spans="1:10" ht="24.95" customHeight="1">
      <c r="A21" s="1434" t="s">
        <v>350</v>
      </c>
      <c r="B21" s="1770"/>
      <c r="C21" s="581" t="s">
        <v>139</v>
      </c>
      <c r="D21" s="1830" t="s">
        <v>496</v>
      </c>
      <c r="E21" s="1831"/>
      <c r="F21" s="1832"/>
      <c r="G21" s="575" t="s">
        <v>293</v>
      </c>
      <c r="H21" s="576" t="s">
        <v>140</v>
      </c>
      <c r="I21" s="1437">
        <f>ROUND(J21*(1-$G$65),2)</f>
        <v>5800</v>
      </c>
      <c r="J21" s="1848">
        <v>5800</v>
      </c>
    </row>
    <row r="22" spans="1:10" ht="24.95" customHeight="1">
      <c r="A22" s="1434"/>
      <c r="B22" s="1770"/>
      <c r="C22" s="1833" t="s">
        <v>141</v>
      </c>
      <c r="D22" s="1834"/>
      <c r="E22" s="1834"/>
      <c r="F22" s="1835"/>
      <c r="G22" s="1850" t="s">
        <v>142</v>
      </c>
      <c r="H22" s="1851"/>
      <c r="I22" s="1437"/>
      <c r="J22" s="1848"/>
    </row>
    <row r="23" spans="1:10" ht="24.95" customHeight="1">
      <c r="A23" s="1434"/>
      <c r="B23" s="1770"/>
      <c r="C23" s="1833" t="s">
        <v>143</v>
      </c>
      <c r="D23" s="1834"/>
      <c r="E23" s="1834"/>
      <c r="F23" s="1835"/>
      <c r="G23" s="1850" t="s">
        <v>144</v>
      </c>
      <c r="H23" s="1851"/>
      <c r="I23" s="1437"/>
      <c r="J23" s="1848"/>
    </row>
    <row r="24" spans="1:10" ht="24.95" customHeight="1">
      <c r="A24" s="1434"/>
      <c r="B24" s="1770"/>
      <c r="C24" s="1839" t="s">
        <v>145</v>
      </c>
      <c r="D24" s="1840"/>
      <c r="E24" s="1840"/>
      <c r="F24" s="1841"/>
      <c r="G24" s="1854" t="s">
        <v>146</v>
      </c>
      <c r="H24" s="1855"/>
      <c r="I24" s="1438"/>
      <c r="J24" s="1848"/>
    </row>
    <row r="25" spans="1:10" ht="24.95" customHeight="1" thickBot="1">
      <c r="A25" s="1828"/>
      <c r="B25" s="1829"/>
      <c r="C25" s="1842" t="s">
        <v>524</v>
      </c>
      <c r="D25" s="1843"/>
      <c r="E25" s="1843"/>
      <c r="F25" s="1844"/>
      <c r="G25" s="1859" t="s">
        <v>351</v>
      </c>
      <c r="H25" s="1860"/>
      <c r="I25" s="594">
        <f>ROUND(J25*(1-$G$65),2)</f>
        <v>1200</v>
      </c>
      <c r="J25" s="601">
        <v>1200</v>
      </c>
    </row>
    <row r="26" spans="1:10" ht="24.95" customHeight="1">
      <c r="A26" s="1827" t="s">
        <v>519</v>
      </c>
      <c r="B26" s="1769"/>
      <c r="C26" s="581" t="s">
        <v>520</v>
      </c>
      <c r="D26" s="1830" t="s">
        <v>521</v>
      </c>
      <c r="E26" s="1831"/>
      <c r="F26" s="1832"/>
      <c r="G26" s="575" t="s">
        <v>293</v>
      </c>
      <c r="H26" s="576" t="s">
        <v>140</v>
      </c>
      <c r="I26" s="1813">
        <f>ROUND(J26*(1-$G$65),2)</f>
        <v>4400</v>
      </c>
      <c r="J26" s="1848">
        <v>4400</v>
      </c>
    </row>
    <row r="27" spans="1:10" ht="24.95" customHeight="1">
      <c r="A27" s="1434"/>
      <c r="B27" s="1770"/>
      <c r="C27" s="1833" t="s">
        <v>141</v>
      </c>
      <c r="D27" s="1834"/>
      <c r="E27" s="1834"/>
      <c r="F27" s="1835"/>
      <c r="G27" s="1850" t="s">
        <v>142</v>
      </c>
      <c r="H27" s="1851"/>
      <c r="I27" s="1437"/>
      <c r="J27" s="1848"/>
    </row>
    <row r="28" spans="1:10" ht="24.95" customHeight="1">
      <c r="A28" s="1434"/>
      <c r="B28" s="1770"/>
      <c r="C28" s="1833" t="s">
        <v>143</v>
      </c>
      <c r="D28" s="1834"/>
      <c r="E28" s="1834"/>
      <c r="F28" s="1835"/>
      <c r="G28" s="1850" t="s">
        <v>522</v>
      </c>
      <c r="H28" s="1851"/>
      <c r="I28" s="1437"/>
      <c r="J28" s="1848"/>
    </row>
    <row r="29" spans="1:10" ht="24.95" customHeight="1">
      <c r="A29" s="1434"/>
      <c r="B29" s="1770"/>
      <c r="C29" s="1833" t="s">
        <v>145</v>
      </c>
      <c r="D29" s="1834"/>
      <c r="E29" s="1834"/>
      <c r="F29" s="1835"/>
      <c r="G29" s="1852" t="s">
        <v>638</v>
      </c>
      <c r="H29" s="1853"/>
      <c r="I29" s="1437"/>
      <c r="J29" s="1848"/>
    </row>
    <row r="30" spans="1:10" ht="24.95" customHeight="1" thickBot="1">
      <c r="A30" s="1828"/>
      <c r="B30" s="1829"/>
      <c r="C30" s="1836" t="s">
        <v>523</v>
      </c>
      <c r="D30" s="1837"/>
      <c r="E30" s="1837"/>
      <c r="F30" s="1838"/>
      <c r="G30" s="1856" t="s">
        <v>351</v>
      </c>
      <c r="H30" s="1857"/>
      <c r="I30" s="1858"/>
      <c r="J30" s="1848"/>
    </row>
    <row r="31" spans="1:10" ht="50.1" customHeight="1">
      <c r="A31" s="1827" t="s">
        <v>352</v>
      </c>
      <c r="B31" s="1769"/>
      <c r="C31" s="1814" t="s">
        <v>353</v>
      </c>
      <c r="D31" s="1774" t="s">
        <v>268</v>
      </c>
      <c r="E31" s="1776"/>
      <c r="F31" s="1804" t="s">
        <v>268</v>
      </c>
      <c r="G31" s="579" t="s">
        <v>293</v>
      </c>
      <c r="H31" s="582" t="s">
        <v>341</v>
      </c>
      <c r="I31" s="1805">
        <f>ROUND(J31*(1-$G$65),2)</f>
        <v>6525</v>
      </c>
      <c r="J31" s="1848">
        <v>6525</v>
      </c>
    </row>
    <row r="32" spans="1:10" ht="24.95" customHeight="1">
      <c r="A32" s="1434"/>
      <c r="B32" s="1770"/>
      <c r="C32" s="1795"/>
      <c r="D32" s="1777"/>
      <c r="E32" s="1779"/>
      <c r="F32" s="1789"/>
      <c r="G32" s="574" t="s">
        <v>270</v>
      </c>
      <c r="H32" s="577" t="s">
        <v>148</v>
      </c>
      <c r="I32" s="1806"/>
      <c r="J32" s="1848"/>
    </row>
    <row r="33" spans="1:12" ht="24.95" customHeight="1">
      <c r="A33" s="1434"/>
      <c r="B33" s="1770"/>
      <c r="C33" s="1795"/>
      <c r="D33" s="1777"/>
      <c r="E33" s="1779"/>
      <c r="F33" s="1789"/>
      <c r="G33" s="574" t="s">
        <v>272</v>
      </c>
      <c r="H33" s="577" t="s">
        <v>273</v>
      </c>
      <c r="I33" s="1806"/>
      <c r="J33" s="1848"/>
    </row>
    <row r="34" spans="1:12" ht="24.95" customHeight="1">
      <c r="A34" s="1434"/>
      <c r="B34" s="1771"/>
      <c r="C34" s="1796"/>
      <c r="D34" s="1780"/>
      <c r="E34" s="1782"/>
      <c r="F34" s="1790"/>
      <c r="G34" s="573" t="s">
        <v>274</v>
      </c>
      <c r="H34" s="578" t="s">
        <v>275</v>
      </c>
      <c r="I34" s="1806"/>
      <c r="J34" s="1848"/>
    </row>
    <row r="35" spans="1:12" s="55" customFormat="1" ht="50.1" customHeight="1">
      <c r="A35" s="1434"/>
      <c r="B35" s="512"/>
      <c r="C35" s="522" t="s">
        <v>299</v>
      </c>
      <c r="D35" s="1762" t="s">
        <v>269</v>
      </c>
      <c r="E35" s="1763"/>
      <c r="F35" s="514" t="s">
        <v>354</v>
      </c>
      <c r="G35" s="1750" t="s">
        <v>355</v>
      </c>
      <c r="H35" s="1751"/>
      <c r="I35" s="597">
        <f>ROUND(J35*(1-$G$65),2)</f>
        <v>2500</v>
      </c>
      <c r="J35" s="601">
        <v>2500</v>
      </c>
      <c r="K35" s="605"/>
      <c r="L35" s="605"/>
    </row>
    <row r="36" spans="1:12" s="55" customFormat="1" ht="50.1" customHeight="1" thickBot="1">
      <c r="A36" s="1828"/>
      <c r="B36" s="568"/>
      <c r="C36" s="515" t="s">
        <v>300</v>
      </c>
      <c r="D36" s="1849" t="s">
        <v>269</v>
      </c>
      <c r="E36" s="1784"/>
      <c r="F36" s="516" t="s">
        <v>354</v>
      </c>
      <c r="G36" s="1824" t="s">
        <v>356</v>
      </c>
      <c r="H36" s="1825"/>
      <c r="I36" s="594">
        <f>ROUND(J36*(1-$G$65),2)</f>
        <v>880</v>
      </c>
      <c r="J36" s="601">
        <v>880</v>
      </c>
      <c r="K36" s="605"/>
      <c r="L36" s="605"/>
    </row>
    <row r="37" spans="1:12" s="55" customFormat="1" ht="24.95" customHeight="1">
      <c r="A37" s="1827" t="s">
        <v>357</v>
      </c>
      <c r="B37" s="1821"/>
      <c r="C37" s="1795" t="s">
        <v>392</v>
      </c>
      <c r="D37" s="1775" t="s">
        <v>268</v>
      </c>
      <c r="E37" s="1775"/>
      <c r="F37" s="1776"/>
      <c r="G37" s="579" t="s">
        <v>293</v>
      </c>
      <c r="H37" s="580">
        <v>6005.9004999999997</v>
      </c>
      <c r="I37" s="1813">
        <f>ROUND(J37*(1-$G$65),2)</f>
        <v>2649</v>
      </c>
      <c r="J37" s="1848">
        <v>2649</v>
      </c>
      <c r="K37" s="605"/>
      <c r="L37" s="605"/>
    </row>
    <row r="38" spans="1:12" s="55" customFormat="1" ht="24.95" customHeight="1">
      <c r="A38" s="1434"/>
      <c r="B38" s="1822"/>
      <c r="C38" s="1795"/>
      <c r="D38" s="1778"/>
      <c r="E38" s="1778"/>
      <c r="F38" s="1779"/>
      <c r="G38" s="574" t="s">
        <v>270</v>
      </c>
      <c r="H38" s="577" t="s">
        <v>137</v>
      </c>
      <c r="I38" s="1437"/>
      <c r="J38" s="1848"/>
      <c r="K38" s="605"/>
      <c r="L38" s="605"/>
    </row>
    <row r="39" spans="1:12" s="55" customFormat="1" ht="24.95" customHeight="1">
      <c r="A39" s="1434"/>
      <c r="B39" s="1822"/>
      <c r="C39" s="1795"/>
      <c r="D39" s="1778"/>
      <c r="E39" s="1778"/>
      <c r="F39" s="1779"/>
      <c r="G39" s="574" t="s">
        <v>272</v>
      </c>
      <c r="H39" s="577" t="s">
        <v>138</v>
      </c>
      <c r="I39" s="1437"/>
      <c r="J39" s="1848"/>
      <c r="K39" s="605"/>
      <c r="L39" s="605"/>
    </row>
    <row r="40" spans="1:12" s="55" customFormat="1" ht="24.95" customHeight="1">
      <c r="A40" s="1434"/>
      <c r="B40" s="1823"/>
      <c r="C40" s="1796"/>
      <c r="D40" s="1781"/>
      <c r="E40" s="1781"/>
      <c r="F40" s="1782"/>
      <c r="G40" s="573" t="s">
        <v>274</v>
      </c>
      <c r="H40" s="578" t="s">
        <v>275</v>
      </c>
      <c r="I40" s="1438"/>
      <c r="J40" s="1848"/>
      <c r="K40" s="605"/>
      <c r="L40" s="605"/>
    </row>
    <row r="41" spans="1:12" s="55" customFormat="1" ht="50.1" customHeight="1" thickBot="1">
      <c r="A41" s="1828"/>
      <c r="B41" s="517"/>
      <c r="C41" s="518" t="s">
        <v>358</v>
      </c>
      <c r="D41" s="543"/>
      <c r="E41" s="544"/>
      <c r="F41" s="545"/>
      <c r="G41" s="1824" t="s">
        <v>359</v>
      </c>
      <c r="H41" s="1825"/>
      <c r="I41" s="594">
        <f t="shared" ref="I41:I58" si="0">ROUND(J41*(1-$G$65),2)</f>
        <v>290</v>
      </c>
      <c r="J41" s="601">
        <v>290</v>
      </c>
      <c r="K41" s="605"/>
      <c r="L41" s="605"/>
    </row>
    <row r="42" spans="1:12" s="55" customFormat="1" ht="75" customHeight="1">
      <c r="A42" s="524" t="s">
        <v>360</v>
      </c>
      <c r="B42" s="525"/>
      <c r="C42" s="513" t="s">
        <v>361</v>
      </c>
      <c r="D42" s="1807" t="s">
        <v>343</v>
      </c>
      <c r="E42" s="1808"/>
      <c r="F42" s="514" t="s">
        <v>354</v>
      </c>
      <c r="G42" s="551" t="s">
        <v>293</v>
      </c>
      <c r="H42" s="551" t="s">
        <v>332</v>
      </c>
      <c r="I42" s="596">
        <f t="shared" si="0"/>
        <v>780</v>
      </c>
      <c r="J42" s="601">
        <v>780</v>
      </c>
      <c r="K42" s="605"/>
      <c r="L42" s="605"/>
    </row>
    <row r="43" spans="1:12" s="55" customFormat="1" ht="75" customHeight="1">
      <c r="A43" s="519" t="s">
        <v>161</v>
      </c>
      <c r="B43" s="520"/>
      <c r="C43" s="521" t="s">
        <v>162</v>
      </c>
      <c r="D43" s="1762" t="s">
        <v>535</v>
      </c>
      <c r="E43" s="1764"/>
      <c r="F43" s="1764"/>
      <c r="G43" s="1764"/>
      <c r="H43" s="1763"/>
      <c r="I43" s="598">
        <f t="shared" si="0"/>
        <v>140</v>
      </c>
      <c r="J43" s="601">
        <v>140</v>
      </c>
      <c r="K43" s="605"/>
      <c r="L43" s="605"/>
    </row>
    <row r="44" spans="1:12" s="55" customFormat="1" ht="24.95" customHeight="1">
      <c r="A44" s="1748" t="s">
        <v>163</v>
      </c>
      <c r="B44" s="1788"/>
      <c r="C44" s="522" t="s">
        <v>362</v>
      </c>
      <c r="D44" s="1815" t="s">
        <v>355</v>
      </c>
      <c r="E44" s="1816"/>
      <c r="F44" s="1817"/>
      <c r="G44" s="1752" t="s">
        <v>164</v>
      </c>
      <c r="H44" s="1753"/>
      <c r="I44" s="598">
        <f t="shared" si="0"/>
        <v>1000</v>
      </c>
      <c r="J44" s="601">
        <v>1000</v>
      </c>
      <c r="K44" s="605"/>
      <c r="L44" s="605"/>
    </row>
    <row r="45" spans="1:12" ht="24.95" customHeight="1">
      <c r="A45" s="1756"/>
      <c r="B45" s="1790"/>
      <c r="C45" s="513" t="s">
        <v>363</v>
      </c>
      <c r="D45" s="1818"/>
      <c r="E45" s="1819"/>
      <c r="F45" s="1820"/>
      <c r="G45" s="1754"/>
      <c r="H45" s="1755"/>
      <c r="I45" s="598">
        <f t="shared" si="0"/>
        <v>1250</v>
      </c>
      <c r="J45" s="601">
        <v>1250</v>
      </c>
    </row>
    <row r="46" spans="1:12" ht="24.95" customHeight="1">
      <c r="A46" s="1756"/>
      <c r="B46" s="1788"/>
      <c r="C46" s="513" t="s">
        <v>165</v>
      </c>
      <c r="D46" s="1815" t="s">
        <v>623</v>
      </c>
      <c r="E46" s="1816"/>
      <c r="F46" s="1817"/>
      <c r="G46" s="1752" t="s">
        <v>164</v>
      </c>
      <c r="H46" s="1753"/>
      <c r="I46" s="598">
        <f t="shared" si="0"/>
        <v>900</v>
      </c>
      <c r="J46" s="601">
        <v>900</v>
      </c>
    </row>
    <row r="47" spans="1:12" s="55" customFormat="1" ht="24.95" customHeight="1">
      <c r="A47" s="1756"/>
      <c r="B47" s="1790"/>
      <c r="C47" s="521" t="s">
        <v>167</v>
      </c>
      <c r="D47" s="1818"/>
      <c r="E47" s="1819"/>
      <c r="F47" s="1820"/>
      <c r="G47" s="1754"/>
      <c r="H47" s="1755"/>
      <c r="I47" s="598">
        <f t="shared" si="0"/>
        <v>1650</v>
      </c>
      <c r="J47" s="601">
        <v>1650</v>
      </c>
      <c r="K47" s="605"/>
      <c r="L47" s="605"/>
    </row>
    <row r="48" spans="1:12" s="55" customFormat="1" ht="50.1" customHeight="1">
      <c r="A48" s="1749"/>
      <c r="B48" s="658"/>
      <c r="C48" s="659" t="s">
        <v>620</v>
      </c>
      <c r="D48" s="1757" t="s">
        <v>622</v>
      </c>
      <c r="E48" s="1758"/>
      <c r="F48" s="1759"/>
      <c r="G48" s="1760" t="s">
        <v>621</v>
      </c>
      <c r="H48" s="1761"/>
      <c r="I48" s="660">
        <f t="shared" si="0"/>
        <v>450</v>
      </c>
      <c r="J48" s="601">
        <v>450</v>
      </c>
      <c r="K48" s="605"/>
      <c r="L48" s="605"/>
    </row>
    <row r="49" spans="1:12" s="55" customFormat="1" ht="50.1" customHeight="1">
      <c r="A49" s="524" t="s">
        <v>163</v>
      </c>
      <c r="B49" s="525"/>
      <c r="C49" s="513" t="s">
        <v>333</v>
      </c>
      <c r="D49" s="1809" t="s">
        <v>355</v>
      </c>
      <c r="E49" s="1810"/>
      <c r="F49" s="1811"/>
      <c r="G49" s="1750" t="s">
        <v>169</v>
      </c>
      <c r="H49" s="1751"/>
      <c r="I49" s="599">
        <f t="shared" si="0"/>
        <v>350</v>
      </c>
      <c r="J49" s="601">
        <v>350</v>
      </c>
      <c r="K49" s="605"/>
      <c r="L49" s="605"/>
    </row>
    <row r="50" spans="1:12" s="55" customFormat="1" ht="24.95" customHeight="1">
      <c r="A50" s="1748" t="s">
        <v>170</v>
      </c>
      <c r="B50" s="1788"/>
      <c r="C50" s="523" t="s">
        <v>364</v>
      </c>
      <c r="D50" s="1792" t="s">
        <v>168</v>
      </c>
      <c r="E50" s="1812"/>
      <c r="F50" s="1793"/>
      <c r="G50" s="1752" t="s">
        <v>171</v>
      </c>
      <c r="H50" s="1753"/>
      <c r="I50" s="598">
        <f t="shared" si="0"/>
        <v>430</v>
      </c>
      <c r="J50" s="601">
        <v>430</v>
      </c>
      <c r="K50" s="605"/>
      <c r="L50" s="605"/>
    </row>
    <row r="51" spans="1:12" ht="24.95" customHeight="1">
      <c r="A51" s="1749"/>
      <c r="B51" s="1790"/>
      <c r="C51" s="523" t="s">
        <v>365</v>
      </c>
      <c r="D51" s="1780"/>
      <c r="E51" s="1781"/>
      <c r="F51" s="1782"/>
      <c r="G51" s="1754"/>
      <c r="H51" s="1755"/>
      <c r="I51" s="598">
        <f t="shared" si="0"/>
        <v>470</v>
      </c>
      <c r="J51" s="601">
        <v>470</v>
      </c>
    </row>
    <row r="52" spans="1:12" ht="75" customHeight="1">
      <c r="A52" s="524" t="s">
        <v>216</v>
      </c>
      <c r="B52" s="525"/>
      <c r="C52" s="526" t="s">
        <v>217</v>
      </c>
      <c r="D52" s="527" t="s">
        <v>218</v>
      </c>
      <c r="E52" s="528" t="s">
        <v>219</v>
      </c>
      <c r="F52" s="528" t="s">
        <v>220</v>
      </c>
      <c r="G52" s="1750" t="s">
        <v>221</v>
      </c>
      <c r="H52" s="1751"/>
      <c r="I52" s="598">
        <f t="shared" si="0"/>
        <v>1470</v>
      </c>
      <c r="J52" s="601">
        <v>1470</v>
      </c>
    </row>
    <row r="53" spans="1:12" ht="75" customHeight="1">
      <c r="A53" s="524" t="s">
        <v>222</v>
      </c>
      <c r="B53" s="525"/>
      <c r="C53" s="513" t="s">
        <v>223</v>
      </c>
      <c r="D53" s="529" t="s">
        <v>224</v>
      </c>
      <c r="E53" s="529" t="s">
        <v>225</v>
      </c>
      <c r="F53" s="529"/>
      <c r="G53" s="1750" t="s">
        <v>366</v>
      </c>
      <c r="H53" s="1751"/>
      <c r="I53" s="598">
        <f t="shared" si="0"/>
        <v>2250</v>
      </c>
      <c r="J53" s="601">
        <v>2250</v>
      </c>
    </row>
    <row r="54" spans="1:12" ht="75" customHeight="1">
      <c r="A54" s="524" t="s">
        <v>241</v>
      </c>
      <c r="B54" s="525"/>
      <c r="C54" s="526" t="s">
        <v>242</v>
      </c>
      <c r="D54" s="527" t="s">
        <v>224</v>
      </c>
      <c r="E54" s="528" t="s">
        <v>356</v>
      </c>
      <c r="F54" s="528" t="s">
        <v>243</v>
      </c>
      <c r="G54" s="1750" t="s">
        <v>244</v>
      </c>
      <c r="H54" s="1751"/>
      <c r="I54" s="598">
        <f t="shared" si="0"/>
        <v>1700</v>
      </c>
      <c r="J54" s="601">
        <v>1700</v>
      </c>
    </row>
    <row r="55" spans="1:12" ht="50.1" customHeight="1">
      <c r="A55" s="524" t="s">
        <v>509</v>
      </c>
      <c r="B55" s="525"/>
      <c r="C55" s="513" t="s">
        <v>508</v>
      </c>
      <c r="D55" s="1762" t="s">
        <v>276</v>
      </c>
      <c r="E55" s="1764"/>
      <c r="F55" s="1763"/>
      <c r="G55" s="1750" t="s">
        <v>277</v>
      </c>
      <c r="H55" s="1751"/>
      <c r="I55" s="599">
        <f t="shared" si="0"/>
        <v>20200</v>
      </c>
      <c r="J55" s="601">
        <v>20200</v>
      </c>
    </row>
    <row r="56" spans="1:12" ht="75" customHeight="1">
      <c r="A56" s="524" t="s">
        <v>367</v>
      </c>
      <c r="B56" s="525"/>
      <c r="C56" s="521" t="s">
        <v>368</v>
      </c>
      <c r="D56" s="541"/>
      <c r="E56" s="546"/>
      <c r="F56" s="542"/>
      <c r="G56" s="1750" t="s">
        <v>369</v>
      </c>
      <c r="H56" s="1751"/>
      <c r="I56" s="598">
        <f t="shared" si="0"/>
        <v>24400</v>
      </c>
      <c r="J56" s="601">
        <v>24400</v>
      </c>
    </row>
    <row r="57" spans="1:12" ht="99.95" customHeight="1">
      <c r="A57" s="524" t="s">
        <v>370</v>
      </c>
      <c r="B57" s="525"/>
      <c r="C57" s="513" t="s">
        <v>278</v>
      </c>
      <c r="D57" s="1762" t="s">
        <v>279</v>
      </c>
      <c r="E57" s="1764"/>
      <c r="F57" s="1763"/>
      <c r="G57" s="1750" t="s">
        <v>156</v>
      </c>
      <c r="H57" s="1751"/>
      <c r="I57" s="598">
        <f t="shared" si="0"/>
        <v>23000</v>
      </c>
      <c r="J57" s="601">
        <v>23000</v>
      </c>
    </row>
    <row r="58" spans="1:12" ht="75" customHeight="1">
      <c r="A58" s="524" t="s">
        <v>157</v>
      </c>
      <c r="B58" s="525"/>
      <c r="C58" s="513" t="s">
        <v>158</v>
      </c>
      <c r="D58" s="529" t="s">
        <v>218</v>
      </c>
      <c r="E58" s="1762" t="s">
        <v>355</v>
      </c>
      <c r="F58" s="1763"/>
      <c r="G58" s="1750" t="s">
        <v>159</v>
      </c>
      <c r="H58" s="1751"/>
      <c r="I58" s="598">
        <f t="shared" si="0"/>
        <v>1000</v>
      </c>
      <c r="J58" s="601">
        <v>1000</v>
      </c>
    </row>
    <row r="59" spans="1:12" s="55" customFormat="1" ht="26.25" customHeight="1">
      <c r="A59" s="552" t="s">
        <v>493</v>
      </c>
      <c r="B59" s="547"/>
      <c r="C59" s="547"/>
      <c r="D59" s="547"/>
      <c r="E59" s="547"/>
      <c r="F59" s="547"/>
      <c r="G59" s="547"/>
      <c r="H59" s="547"/>
      <c r="I59" s="530"/>
      <c r="J59" s="601"/>
      <c r="K59" s="605"/>
      <c r="L59" s="605"/>
    </row>
    <row r="60" spans="1:12" s="55" customFormat="1" ht="22.5" customHeight="1">
      <c r="A60" s="552" t="s">
        <v>492</v>
      </c>
      <c r="B60" s="547"/>
      <c r="C60" s="547"/>
      <c r="D60" s="547"/>
      <c r="E60" s="547"/>
      <c r="F60" s="547"/>
      <c r="G60" s="547"/>
      <c r="H60" s="547"/>
      <c r="I60" s="530"/>
      <c r="J60" s="601"/>
      <c r="K60" s="605"/>
      <c r="L60" s="605"/>
    </row>
    <row r="61" spans="1:12" s="55" customFormat="1" ht="20.25">
      <c r="A61" s="552" t="s">
        <v>494</v>
      </c>
      <c r="B61" s="547"/>
      <c r="C61" s="547"/>
      <c r="D61" s="547"/>
      <c r="E61" s="547"/>
      <c r="F61" s="547"/>
      <c r="G61" s="547"/>
      <c r="H61" s="547"/>
      <c r="I61" s="530"/>
      <c r="J61" s="601"/>
      <c r="K61" s="605"/>
      <c r="L61" s="605"/>
    </row>
    <row r="62" spans="1:12" s="55" customFormat="1" ht="50.25" customHeight="1">
      <c r="A62" s="547"/>
      <c r="B62" s="547"/>
      <c r="C62" s="547"/>
      <c r="D62" s="547"/>
      <c r="E62" s="547"/>
      <c r="F62" s="547"/>
      <c r="G62" s="547"/>
      <c r="H62" s="547"/>
      <c r="I62" s="530"/>
      <c r="J62" s="601"/>
      <c r="K62" s="605"/>
      <c r="L62" s="605"/>
    </row>
    <row r="63" spans="1:12" s="55" customFormat="1" ht="14.25" customHeight="1">
      <c r="A63" s="54"/>
      <c r="B63" s="54"/>
      <c r="C63" s="54"/>
      <c r="D63" s="54"/>
      <c r="E63" s="54"/>
      <c r="F63" s="54"/>
      <c r="G63" s="54"/>
      <c r="H63" s="54"/>
      <c r="I63" s="54"/>
      <c r="J63" s="601"/>
      <c r="K63" s="605"/>
      <c r="L63" s="605"/>
    </row>
    <row r="64" spans="1:12" s="55" customFormat="1" ht="44.25" customHeight="1">
      <c r="A64" s="54"/>
      <c r="B64" s="54"/>
      <c r="C64" s="54"/>
      <c r="D64" s="54"/>
      <c r="E64" s="54"/>
      <c r="F64" s="54"/>
      <c r="G64" s="54"/>
      <c r="H64" s="54"/>
      <c r="I64" s="54"/>
      <c r="J64" s="601"/>
      <c r="K64" s="605"/>
      <c r="L64" s="605"/>
    </row>
    <row r="65" spans="1:14" s="55" customFormat="1" ht="45.75" hidden="1" customHeight="1">
      <c r="A65" s="553" t="s">
        <v>115</v>
      </c>
      <c r="B65" s="483"/>
      <c r="C65" s="483"/>
      <c r="D65" s="483"/>
      <c r="E65" s="483"/>
      <c r="F65" s="483"/>
      <c r="G65" s="924">
        <v>0</v>
      </c>
      <c r="H65" s="54"/>
      <c r="I65" s="54"/>
      <c r="J65" s="601"/>
      <c r="K65" s="605"/>
      <c r="L65" s="605"/>
    </row>
    <row r="66" spans="1:14" s="55" customFormat="1" ht="111.75" customHeight="1">
      <c r="A66" s="54"/>
      <c r="B66" s="54"/>
      <c r="C66" s="56"/>
      <c r="D66" s="56"/>
      <c r="E66" s="54"/>
      <c r="F66" s="54"/>
      <c r="G66" s="54"/>
      <c r="H66" s="54"/>
      <c r="I66" s="54"/>
      <c r="J66" s="601"/>
      <c r="K66" s="605"/>
      <c r="L66" s="605"/>
    </row>
    <row r="67" spans="1:14" s="55" customFormat="1" ht="75.75" customHeight="1">
      <c r="A67" s="54"/>
      <c r="B67" s="54"/>
      <c r="C67" s="56"/>
      <c r="D67" s="56"/>
      <c r="E67" s="54"/>
      <c r="F67" s="54"/>
      <c r="G67" s="54"/>
      <c r="H67" s="54"/>
      <c r="I67" s="54"/>
      <c r="J67" s="601"/>
      <c r="K67" s="605"/>
      <c r="L67" s="605"/>
      <c r="N67" s="156"/>
    </row>
    <row r="68" spans="1:14" s="55" customFormat="1" ht="58.5" customHeight="1">
      <c r="A68" s="54"/>
      <c r="B68" s="54"/>
      <c r="C68" s="56"/>
      <c r="D68" s="56"/>
      <c r="E68" s="54"/>
      <c r="F68" s="54"/>
      <c r="G68" s="54"/>
      <c r="H68" s="54"/>
      <c r="I68" s="54"/>
      <c r="J68" s="601"/>
      <c r="K68" s="605"/>
      <c r="L68" s="605"/>
    </row>
    <row r="69" spans="1:14" s="55" customFormat="1" ht="58.5" customHeight="1">
      <c r="A69" s="54"/>
      <c r="B69" s="54"/>
      <c r="C69" s="56"/>
      <c r="D69" s="56"/>
      <c r="E69" s="54"/>
      <c r="F69" s="54"/>
      <c r="G69" s="54"/>
      <c r="H69" s="54"/>
      <c r="I69" s="54"/>
      <c r="J69" s="601"/>
      <c r="K69" s="605"/>
      <c r="L69" s="605"/>
    </row>
    <row r="70" spans="1:14" s="55" customFormat="1" ht="78.75" customHeight="1">
      <c r="A70" s="54"/>
      <c r="B70" s="54"/>
      <c r="C70" s="56"/>
      <c r="D70" s="56"/>
      <c r="E70" s="54"/>
      <c r="F70" s="54"/>
      <c r="G70" s="54"/>
      <c r="H70" s="54"/>
      <c r="I70" s="54"/>
      <c r="J70" s="601"/>
      <c r="K70" s="605"/>
      <c r="L70" s="605"/>
    </row>
    <row r="71" spans="1:14" s="55" customFormat="1" ht="64.5" customHeight="1">
      <c r="A71" s="54"/>
      <c r="B71" s="54"/>
      <c r="C71" s="56"/>
      <c r="D71" s="56"/>
      <c r="E71" s="54"/>
      <c r="F71" s="54"/>
      <c r="G71" s="54"/>
      <c r="H71" s="54"/>
      <c r="I71" s="54"/>
      <c r="J71" s="601"/>
      <c r="K71" s="605"/>
      <c r="L71" s="605"/>
    </row>
    <row r="72" spans="1:14" s="55" customFormat="1" ht="18.75" customHeight="1">
      <c r="A72" s="54"/>
      <c r="B72" s="54"/>
      <c r="C72" s="56"/>
      <c r="D72" s="56"/>
      <c r="E72" s="54"/>
      <c r="F72" s="54"/>
      <c r="G72" s="54"/>
      <c r="H72" s="54"/>
      <c r="I72" s="54"/>
      <c r="J72" s="601"/>
      <c r="K72" s="605"/>
      <c r="L72" s="605"/>
    </row>
    <row r="73" spans="1:14" s="55" customFormat="1" ht="18.75" customHeight="1">
      <c r="A73" s="54"/>
      <c r="B73" s="54"/>
      <c r="C73" s="56"/>
      <c r="D73" s="56"/>
      <c r="E73" s="54"/>
      <c r="F73" s="54"/>
      <c r="G73" s="54"/>
      <c r="H73" s="54"/>
      <c r="I73" s="54"/>
      <c r="J73" s="601"/>
      <c r="K73" s="605"/>
      <c r="L73" s="605"/>
    </row>
    <row r="74" spans="1:14" s="55" customFormat="1" ht="18.75" customHeight="1">
      <c r="A74" s="54"/>
      <c r="B74" s="54"/>
      <c r="C74" s="56"/>
      <c r="D74" s="56"/>
      <c r="E74" s="54"/>
      <c r="F74" s="54"/>
      <c r="G74" s="54"/>
      <c r="H74" s="54"/>
      <c r="I74" s="54"/>
      <c r="J74" s="601"/>
      <c r="K74" s="605"/>
      <c r="L74" s="605"/>
    </row>
    <row r="75" spans="1:14" ht="16.5" customHeight="1"/>
    <row r="76" spans="1:14" ht="60" customHeight="1"/>
    <row r="78" spans="1:14" s="55" customFormat="1">
      <c r="A78" s="54"/>
      <c r="B78" s="54"/>
      <c r="C78" s="56"/>
      <c r="D78" s="56"/>
      <c r="E78" s="54"/>
      <c r="F78" s="54"/>
      <c r="G78" s="54"/>
      <c r="H78" s="54"/>
      <c r="I78" s="54"/>
      <c r="J78" s="601"/>
      <c r="K78" s="605"/>
      <c r="L78" s="605"/>
    </row>
    <row r="82" spans="2:9" ht="60" customHeight="1">
      <c r="B82" s="148"/>
      <c r="C82" s="148"/>
      <c r="D82" s="148"/>
      <c r="E82" s="148"/>
      <c r="F82" s="148"/>
      <c r="G82" s="148"/>
      <c r="H82" s="148"/>
      <c r="I82" s="148"/>
    </row>
    <row r="83" spans="2:9">
      <c r="B83" s="57"/>
      <c r="C83" s="58"/>
      <c r="D83" s="58"/>
      <c r="E83" s="57"/>
      <c r="F83" s="57"/>
      <c r="G83" s="57"/>
      <c r="H83" s="57"/>
      <c r="I83" s="57"/>
    </row>
    <row r="98" spans="3:4">
      <c r="C98" s="58"/>
      <c r="D98" s="58"/>
    </row>
  </sheetData>
  <mergeCells count="102">
    <mergeCell ref="J26:J30"/>
    <mergeCell ref="J31:J34"/>
    <mergeCell ref="J37:J40"/>
    <mergeCell ref="J5:J8"/>
    <mergeCell ref="J10:J13"/>
    <mergeCell ref="J15:J18"/>
    <mergeCell ref="J21:J24"/>
    <mergeCell ref="A31:A36"/>
    <mergeCell ref="D35:E35"/>
    <mergeCell ref="D36:E36"/>
    <mergeCell ref="G27:H27"/>
    <mergeCell ref="C28:F28"/>
    <mergeCell ref="G28:H28"/>
    <mergeCell ref="C29:F29"/>
    <mergeCell ref="G29:H29"/>
    <mergeCell ref="G22:H22"/>
    <mergeCell ref="G23:H23"/>
    <mergeCell ref="I21:I24"/>
    <mergeCell ref="G24:H24"/>
    <mergeCell ref="I15:I18"/>
    <mergeCell ref="G30:H30"/>
    <mergeCell ref="I26:I30"/>
    <mergeCell ref="G25:H25"/>
    <mergeCell ref="A37:A41"/>
    <mergeCell ref="C2:E2"/>
    <mergeCell ref="A26:A30"/>
    <mergeCell ref="B26:B30"/>
    <mergeCell ref="D26:F26"/>
    <mergeCell ref="C27:F27"/>
    <mergeCell ref="C30:F30"/>
    <mergeCell ref="B15:B18"/>
    <mergeCell ref="A15:A19"/>
    <mergeCell ref="A21:A25"/>
    <mergeCell ref="C22:F22"/>
    <mergeCell ref="C23:F23"/>
    <mergeCell ref="C24:F24"/>
    <mergeCell ref="C25:F25"/>
    <mergeCell ref="B21:B25"/>
    <mergeCell ref="A3:A4"/>
    <mergeCell ref="B3:B4"/>
    <mergeCell ref="A10:A14"/>
    <mergeCell ref="A5:A9"/>
    <mergeCell ref="D21:F21"/>
    <mergeCell ref="I31:I34"/>
    <mergeCell ref="B50:B51"/>
    <mergeCell ref="D42:E42"/>
    <mergeCell ref="C37:C40"/>
    <mergeCell ref="D49:F49"/>
    <mergeCell ref="D50:F51"/>
    <mergeCell ref="I37:I40"/>
    <mergeCell ref="C31:C34"/>
    <mergeCell ref="B31:B34"/>
    <mergeCell ref="D43:H43"/>
    <mergeCell ref="D44:F45"/>
    <mergeCell ref="G44:H45"/>
    <mergeCell ref="D46:F47"/>
    <mergeCell ref="G46:H47"/>
    <mergeCell ref="B37:B40"/>
    <mergeCell ref="B44:B45"/>
    <mergeCell ref="B46:B47"/>
    <mergeCell ref="G35:H35"/>
    <mergeCell ref="G36:H36"/>
    <mergeCell ref="D31:E34"/>
    <mergeCell ref="F31:F34"/>
    <mergeCell ref="G41:H41"/>
    <mergeCell ref="D37:F40"/>
    <mergeCell ref="I3:I4"/>
    <mergeCell ref="D4:E4"/>
    <mergeCell ref="B10:B13"/>
    <mergeCell ref="I5:I8"/>
    <mergeCell ref="I10:I13"/>
    <mergeCell ref="D15:F18"/>
    <mergeCell ref="D19:E19"/>
    <mergeCell ref="C15:C18"/>
    <mergeCell ref="C10:C13"/>
    <mergeCell ref="F5:F8"/>
    <mergeCell ref="D14:E14"/>
    <mergeCell ref="B5:B8"/>
    <mergeCell ref="D5:E8"/>
    <mergeCell ref="C5:C8"/>
    <mergeCell ref="D9:E9"/>
    <mergeCell ref="C3:C4"/>
    <mergeCell ref="D3:F3"/>
    <mergeCell ref="G3:H4"/>
    <mergeCell ref="F10:F13"/>
    <mergeCell ref="D10:E13"/>
    <mergeCell ref="A50:A51"/>
    <mergeCell ref="G49:H49"/>
    <mergeCell ref="G50:H51"/>
    <mergeCell ref="A44:A48"/>
    <mergeCell ref="D48:F48"/>
    <mergeCell ref="G48:H48"/>
    <mergeCell ref="E58:F58"/>
    <mergeCell ref="G56:H56"/>
    <mergeCell ref="D57:F57"/>
    <mergeCell ref="G57:H57"/>
    <mergeCell ref="G58:H58"/>
    <mergeCell ref="G53:H53"/>
    <mergeCell ref="G54:H54"/>
    <mergeCell ref="G55:H55"/>
    <mergeCell ref="D55:F55"/>
    <mergeCell ref="G52:H52"/>
  </mergeCells>
  <phoneticPr fontId="24" type="noConversion"/>
  <printOptions horizontalCentered="1"/>
  <pageMargins left="0" right="0" top="0" bottom="0" header="3.937007874015748E-2" footer="3.937007874015748E-2"/>
  <pageSetup scale="34" orientation="portrait" r:id="rId1"/>
  <headerFooter scaleWithDoc="0">
    <oddFooter>&amp;R&amp;"Arial Cyr,полужирный"&amp;8стр. &amp;P из &amp;N &amp;"Arial Cyr,обычный"&amp;A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C00000"/>
    <pageSetUpPr fitToPage="1"/>
  </sheetPr>
  <dimension ref="A1:X107"/>
  <sheetViews>
    <sheetView showGridLines="0" topLeftCell="A55" zoomScale="70" zoomScaleNormal="70" zoomScaleSheetLayoutView="55" zoomScalePageLayoutView="40" workbookViewId="0">
      <selection activeCell="F3" sqref="F3"/>
    </sheetView>
  </sheetViews>
  <sheetFormatPr defaultRowHeight="12.75"/>
  <cols>
    <col min="1" max="1" width="52.7109375" style="1" customWidth="1"/>
    <col min="2" max="2" width="20.7109375" style="1" customWidth="1"/>
    <col min="3" max="3" width="15.28515625" style="1" customWidth="1"/>
    <col min="4" max="4" width="17.42578125" style="1" customWidth="1"/>
    <col min="5" max="5" width="14.28515625" style="1" customWidth="1"/>
    <col min="6" max="6" width="17.42578125" style="1" customWidth="1"/>
    <col min="7" max="8" width="18.7109375" style="1" customWidth="1"/>
    <col min="9" max="10" width="28.5703125" style="1" hidden="1" customWidth="1"/>
    <col min="11" max="12" width="29.7109375" style="1" customWidth="1"/>
    <col min="13" max="13" width="27.140625" style="1" hidden="1" customWidth="1"/>
    <col min="14" max="18" width="19.5703125" style="1" hidden="1" customWidth="1"/>
    <col min="19" max="19" width="45.42578125" style="1" hidden="1" customWidth="1"/>
    <col min="20" max="20" width="18.7109375" style="1" customWidth="1"/>
    <col min="21" max="16384" width="9.140625" style="1"/>
  </cols>
  <sheetData>
    <row r="1" spans="1:24" ht="82.5" customHeight="1">
      <c r="A1" s="1862" t="s">
        <v>680</v>
      </c>
      <c r="B1" s="209"/>
      <c r="C1" s="209"/>
      <c r="D1" s="209"/>
      <c r="E1" s="209"/>
      <c r="F1" s="209"/>
      <c r="G1" s="209"/>
      <c r="H1" s="179"/>
      <c r="I1" s="209"/>
      <c r="J1" s="209"/>
      <c r="K1" s="209"/>
    </row>
    <row r="2" spans="1:24" ht="46.5" customHeight="1">
      <c r="B2" s="209"/>
      <c r="C2" s="209"/>
      <c r="D2" s="209"/>
      <c r="E2" s="209"/>
      <c r="F2" s="209"/>
      <c r="G2" s="209"/>
      <c r="H2" s="179"/>
      <c r="I2" s="209"/>
      <c r="J2" s="209"/>
      <c r="K2" s="209"/>
    </row>
    <row r="3" spans="1:24" customFormat="1" ht="33" customHeight="1">
      <c r="A3" s="912" t="s">
        <v>681</v>
      </c>
      <c r="B3" s="5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4" customFormat="1" ht="31.5" customHeight="1">
      <c r="A4" s="910"/>
      <c r="B4" s="51"/>
      <c r="C4" s="1"/>
      <c r="D4" s="1067" t="s">
        <v>485</v>
      </c>
      <c r="E4" s="1067"/>
      <c r="F4" s="1067"/>
      <c r="G4" s="1067"/>
      <c r="H4" s="304"/>
      <c r="I4" s="115"/>
      <c r="J4" s="115"/>
      <c r="K4" s="217"/>
      <c r="L4" s="711"/>
    </row>
    <row r="5" spans="1:24" customFormat="1" ht="110.1" customHeight="1">
      <c r="A5" s="1096" t="s">
        <v>189</v>
      </c>
      <c r="B5" s="1098" t="s">
        <v>479</v>
      </c>
      <c r="C5" s="1098" t="s">
        <v>211</v>
      </c>
      <c r="D5" s="1057" t="s">
        <v>458</v>
      </c>
      <c r="E5" s="1099" t="s">
        <v>124</v>
      </c>
      <c r="F5" s="1099" t="s">
        <v>213</v>
      </c>
      <c r="G5" s="1049" t="s">
        <v>180</v>
      </c>
      <c r="H5" s="1050"/>
      <c r="I5" s="1053" t="s">
        <v>66</v>
      </c>
      <c r="J5" s="1054"/>
      <c r="K5" s="1051" t="s">
        <v>455</v>
      </c>
      <c r="L5" s="1052"/>
      <c r="M5" s="1068" t="s">
        <v>189</v>
      </c>
      <c r="N5" s="1068"/>
      <c r="O5" s="467" t="s">
        <v>214</v>
      </c>
      <c r="P5" s="467" t="s">
        <v>212</v>
      </c>
      <c r="Q5" s="467" t="s">
        <v>82</v>
      </c>
      <c r="R5" s="40" t="s">
        <v>213</v>
      </c>
      <c r="S5" s="41" t="s">
        <v>127</v>
      </c>
    </row>
    <row r="6" spans="1:24" customFormat="1" ht="27" customHeight="1" thickBot="1">
      <c r="A6" s="1097"/>
      <c r="B6" s="1099"/>
      <c r="C6" s="1099"/>
      <c r="D6" s="1058"/>
      <c r="E6" s="1100"/>
      <c r="F6" s="1100"/>
      <c r="G6" s="741" t="s">
        <v>456</v>
      </c>
      <c r="H6" s="789" t="s">
        <v>457</v>
      </c>
      <c r="I6" s="1055"/>
      <c r="J6" s="1056"/>
      <c r="K6" s="564" t="s">
        <v>456</v>
      </c>
      <c r="L6" s="564" t="s">
        <v>457</v>
      </c>
      <c r="M6" s="1069" t="s">
        <v>232</v>
      </c>
      <c r="N6" s="1069" t="s">
        <v>85</v>
      </c>
      <c r="O6" s="114">
        <f>'Эл-ты панельных ограждений - 1'!D5</f>
        <v>1.1000000000000001</v>
      </c>
      <c r="P6" s="195">
        <f>'Эл-ты панельных ограждений - 1'!F5</f>
        <v>2</v>
      </c>
      <c r="Q6" s="15">
        <f>'Эл-ты панельных ограждений - 1'!G5</f>
        <v>2.9810000000000003</v>
      </c>
      <c r="R6" s="1073">
        <f>'Эл-ты панельных ограждений - 1'!H4</f>
        <v>96</v>
      </c>
      <c r="S6" s="169">
        <f>'Эл-ты панельных ограждений - 1'!I5</f>
        <v>403</v>
      </c>
    </row>
    <row r="7" spans="1:24" customFormat="1" ht="21.95" customHeight="1">
      <c r="A7" s="1059" t="s">
        <v>675</v>
      </c>
      <c r="B7" s="775" t="s">
        <v>462</v>
      </c>
      <c r="C7" s="776">
        <v>2</v>
      </c>
      <c r="D7" s="776">
        <v>1</v>
      </c>
      <c r="E7" s="777">
        <v>4.46</v>
      </c>
      <c r="F7" s="778">
        <v>210</v>
      </c>
      <c r="G7" s="779">
        <f t="shared" ref="G7:G53" si="0">IF(I7&gt;0,ROUND(I7*(1-$B$72),2),"-")</f>
        <v>770</v>
      </c>
      <c r="H7" s="766">
        <f t="shared" ref="H7:H53" si="1">IF(J7&gt;0,ROUND(J7*(1-$B$72),2),"-")</f>
        <v>838</v>
      </c>
      <c r="I7" s="740">
        <v>770</v>
      </c>
      <c r="J7" s="212">
        <v>838</v>
      </c>
      <c r="K7" s="724">
        <f t="shared" ref="K7:K13" si="2">IF(I7&gt;0,ROUND(((G7+$S6+($S$36*$P6))/2.5),0),"-")</f>
        <v>512</v>
      </c>
      <c r="L7" s="725">
        <f>IF(J7&gt;0,ROUND(((H7+$S19+($S$36*$P19))/2.5),0),"-")</f>
        <v>588</v>
      </c>
      <c r="M7" s="1072"/>
      <c r="N7" s="1072"/>
      <c r="O7" s="111">
        <f>'Эл-ты панельных ограждений - 1'!D6</f>
        <v>1.3</v>
      </c>
      <c r="P7" s="13">
        <f>'Эл-ты панельных ограждений - 1'!F6</f>
        <v>2</v>
      </c>
      <c r="Q7" s="16">
        <f>'Эл-ты панельных ограждений - 1'!G6</f>
        <v>3.5230000000000001</v>
      </c>
      <c r="R7" s="1074"/>
      <c r="S7" s="170">
        <f>'Эл-ты панельных ограждений - 1'!I6</f>
        <v>476</v>
      </c>
      <c r="T7" s="177"/>
      <c r="U7" s="709"/>
      <c r="V7" s="709"/>
      <c r="W7" s="709"/>
      <c r="X7" s="709"/>
    </row>
    <row r="8" spans="1:24" customFormat="1" ht="21.95" customHeight="1">
      <c r="A8" s="1060"/>
      <c r="B8" s="780" t="s">
        <v>463</v>
      </c>
      <c r="C8" s="732">
        <v>2</v>
      </c>
      <c r="D8" s="733"/>
      <c r="E8" s="734">
        <v>5.52</v>
      </c>
      <c r="F8" s="735">
        <v>70</v>
      </c>
      <c r="G8" s="736">
        <f t="shared" si="0"/>
        <v>952</v>
      </c>
      <c r="H8" s="883">
        <f t="shared" si="1"/>
        <v>1037</v>
      </c>
      <c r="I8" s="742">
        <v>952</v>
      </c>
      <c r="J8" s="211">
        <v>1037</v>
      </c>
      <c r="K8" s="726">
        <f t="shared" si="2"/>
        <v>614</v>
      </c>
      <c r="L8" s="727">
        <f t="shared" ref="L8:L13" si="3">IF(J8&gt;0,ROUND(((H8+$S20+($S$36*$P20))/2.5),0),"-")</f>
        <v>706</v>
      </c>
      <c r="M8" s="1072"/>
      <c r="N8" s="1072"/>
      <c r="O8" s="111">
        <f>'Эл-ты панельных ограждений - 1'!D8</f>
        <v>1.5</v>
      </c>
      <c r="P8" s="13">
        <f>'Эл-ты панельных ограждений - 1'!F8</f>
        <v>2</v>
      </c>
      <c r="Q8" s="16">
        <f>'Эл-ты панельных ограждений - 1'!G8</f>
        <v>4.0649999999999995</v>
      </c>
      <c r="R8" s="1074"/>
      <c r="S8" s="170">
        <f>'Эл-ты панельных ограждений - 1'!I8</f>
        <v>507</v>
      </c>
      <c r="U8" s="709"/>
      <c r="V8" s="709"/>
      <c r="W8" s="709"/>
    </row>
    <row r="9" spans="1:24" customFormat="1" ht="21.95" customHeight="1">
      <c r="A9" s="1060"/>
      <c r="B9" s="781" t="s">
        <v>472</v>
      </c>
      <c r="C9" s="743">
        <v>2</v>
      </c>
      <c r="D9" s="743">
        <v>1.2</v>
      </c>
      <c r="E9" s="744">
        <v>6.58</v>
      </c>
      <c r="F9" s="745">
        <v>70</v>
      </c>
      <c r="G9" s="737">
        <f t="shared" si="0"/>
        <v>1058</v>
      </c>
      <c r="H9" s="767">
        <f t="shared" si="1"/>
        <v>1158</v>
      </c>
      <c r="I9" s="742">
        <v>1058</v>
      </c>
      <c r="J9" s="211">
        <v>1158</v>
      </c>
      <c r="K9" s="726">
        <f>IF(I9&gt;0,ROUND(((G9+$S8+($S$36*$P8))/2.5),0),"-")</f>
        <v>669</v>
      </c>
      <c r="L9" s="727">
        <f t="shared" si="3"/>
        <v>785</v>
      </c>
      <c r="M9" s="1072"/>
      <c r="N9" s="1072"/>
      <c r="O9" s="111">
        <f>'Эл-ты панельных ограждений - 1'!D9</f>
        <v>1.7</v>
      </c>
      <c r="P9" s="13">
        <f>'Эл-ты панельных ограждений - 1'!F9</f>
        <v>2</v>
      </c>
      <c r="Q9" s="16">
        <f>'Эл-ты панельных ограждений - 1'!G9</f>
        <v>4.6070000000000002</v>
      </c>
      <c r="R9" s="1074"/>
      <c r="S9" s="170">
        <f>'Эл-ты панельных ограждений - 1'!I9</f>
        <v>575</v>
      </c>
      <c r="U9" s="709"/>
      <c r="V9" s="709"/>
    </row>
    <row r="10" spans="1:24" customFormat="1" ht="21.95" customHeight="1">
      <c r="A10" s="1060"/>
      <c r="B10" s="782" t="s">
        <v>464</v>
      </c>
      <c r="C10" s="497">
        <v>2</v>
      </c>
      <c r="D10" s="491"/>
      <c r="E10" s="498">
        <v>7.64</v>
      </c>
      <c r="F10" s="499">
        <v>70</v>
      </c>
      <c r="G10" s="731">
        <f t="shared" si="0"/>
        <v>1225</v>
      </c>
      <c r="H10" s="881">
        <f t="shared" si="1"/>
        <v>1341</v>
      </c>
      <c r="I10" s="742">
        <v>1225</v>
      </c>
      <c r="J10" s="211">
        <v>1341</v>
      </c>
      <c r="K10" s="726">
        <f t="shared" si="2"/>
        <v>763</v>
      </c>
      <c r="L10" s="727">
        <f t="shared" si="3"/>
        <v>896</v>
      </c>
      <c r="M10" s="1072"/>
      <c r="N10" s="1072"/>
      <c r="O10" s="111">
        <f>'Эл-ты панельных ограждений - 1'!D10</f>
        <v>1.9</v>
      </c>
      <c r="P10" s="13">
        <f>'Эл-ты панельных ограждений - 1'!F10</f>
        <v>2</v>
      </c>
      <c r="Q10" s="16">
        <f>'Эл-ты панельных ограждений - 1'!G10</f>
        <v>5.149</v>
      </c>
      <c r="R10" s="1074"/>
      <c r="S10" s="170">
        <f>'Эл-ты панельных ограждений - 1'!I10</f>
        <v>615</v>
      </c>
      <c r="U10" s="709"/>
      <c r="V10" s="709"/>
    </row>
    <row r="11" spans="1:24" customFormat="1" ht="21.95" customHeight="1">
      <c r="A11" s="1060"/>
      <c r="B11" s="783" t="s">
        <v>465</v>
      </c>
      <c r="C11" s="728">
        <v>2</v>
      </c>
      <c r="D11" s="729"/>
      <c r="E11" s="504">
        <v>8.6999999999999993</v>
      </c>
      <c r="F11" s="502">
        <v>70</v>
      </c>
      <c r="G11" s="730">
        <f t="shared" si="0"/>
        <v>1346</v>
      </c>
      <c r="H11" s="882">
        <f t="shared" si="1"/>
        <v>1474</v>
      </c>
      <c r="I11" s="742">
        <v>1346</v>
      </c>
      <c r="J11" s="211">
        <v>1474</v>
      </c>
      <c r="K11" s="726">
        <f t="shared" si="2"/>
        <v>828</v>
      </c>
      <c r="L11" s="727">
        <f t="shared" si="3"/>
        <v>985</v>
      </c>
      <c r="M11" s="1072"/>
      <c r="N11" s="1072"/>
      <c r="O11" s="322">
        <f>'Эл-ты панельных ограждений - 1'!D12</f>
        <v>2</v>
      </c>
      <c r="P11" s="13">
        <f>'Эл-ты панельных ограждений - 1'!F12</f>
        <v>3</v>
      </c>
      <c r="Q11" s="16">
        <f>'Эл-ты панельных ограждений - 1'!G12</f>
        <v>5.42</v>
      </c>
      <c r="R11" s="1074"/>
      <c r="S11" s="170">
        <f>'Эл-ты панельных ограждений - 1'!I12</f>
        <v>647</v>
      </c>
      <c r="U11" s="709"/>
      <c r="V11" s="709"/>
    </row>
    <row r="12" spans="1:24" customFormat="1" ht="21.95" customHeight="1">
      <c r="A12" s="1060"/>
      <c r="B12" s="784" t="s">
        <v>473</v>
      </c>
      <c r="C12" s="743">
        <v>3</v>
      </c>
      <c r="D12" s="743" t="s">
        <v>459</v>
      </c>
      <c r="E12" s="744">
        <v>9.69</v>
      </c>
      <c r="F12" s="745">
        <v>70</v>
      </c>
      <c r="G12" s="737">
        <f t="shared" si="0"/>
        <v>1499</v>
      </c>
      <c r="H12" s="767">
        <f t="shared" si="1"/>
        <v>1644</v>
      </c>
      <c r="I12" s="742">
        <v>1499</v>
      </c>
      <c r="J12" s="211">
        <v>1644</v>
      </c>
      <c r="K12" s="726">
        <f t="shared" si="2"/>
        <v>923</v>
      </c>
      <c r="L12" s="727">
        <f t="shared" si="3"/>
        <v>1082</v>
      </c>
      <c r="M12" s="1072"/>
      <c r="N12" s="1072"/>
      <c r="O12" s="111">
        <f>'Эл-ты панельных ограждений - 1'!D13</f>
        <v>2.2000000000000002</v>
      </c>
      <c r="P12" s="13">
        <f>'Эл-ты панельных ограждений - 1'!F13</f>
        <v>3</v>
      </c>
      <c r="Q12" s="16">
        <f>'Эл-ты панельных ограждений - 1'!G13</f>
        <v>5.9620000000000006</v>
      </c>
      <c r="R12" s="1074"/>
      <c r="S12" s="170">
        <f>'Эл-ты панельных ограждений - 1'!I13</f>
        <v>712</v>
      </c>
      <c r="U12" s="709"/>
      <c r="V12" s="709"/>
    </row>
    <row r="13" spans="1:24" customFormat="1" ht="21.95" customHeight="1">
      <c r="A13" s="1060"/>
      <c r="B13" s="857" t="s">
        <v>474</v>
      </c>
      <c r="C13" s="858">
        <v>3</v>
      </c>
      <c r="D13" s="858" t="s">
        <v>459</v>
      </c>
      <c r="E13" s="859">
        <v>10.75</v>
      </c>
      <c r="F13" s="860">
        <v>70</v>
      </c>
      <c r="G13" s="872">
        <f t="shared" si="0"/>
        <v>1598</v>
      </c>
      <c r="H13" s="861">
        <f t="shared" si="1"/>
        <v>1757</v>
      </c>
      <c r="I13" s="742">
        <v>1598</v>
      </c>
      <c r="J13" s="211">
        <v>1757</v>
      </c>
      <c r="K13" s="726">
        <f t="shared" si="2"/>
        <v>989</v>
      </c>
      <c r="L13" s="727">
        <f t="shared" si="3"/>
        <v>1164</v>
      </c>
      <c r="M13" s="1072"/>
      <c r="N13" s="1072"/>
      <c r="O13" s="111">
        <f>'Эл-ты панельных ограждений - 1'!D14</f>
        <v>2.4</v>
      </c>
      <c r="P13" s="13">
        <f>'Эл-ты панельных ограждений - 1'!F14</f>
        <v>3</v>
      </c>
      <c r="Q13" s="16">
        <f>'Эл-ты панельных ограждений - 1'!G14</f>
        <v>6.5039999999999996</v>
      </c>
      <c r="R13" s="1074"/>
      <c r="S13" s="170">
        <f>'Эл-ты панельных ограждений - 1'!I14</f>
        <v>773</v>
      </c>
      <c r="U13" s="709"/>
      <c r="V13" s="709"/>
    </row>
    <row r="14" spans="1:24" customFormat="1" ht="21.95" customHeight="1">
      <c r="A14" s="1060"/>
      <c r="B14" s="862" t="s">
        <v>475</v>
      </c>
      <c r="C14" s="863">
        <v>3</v>
      </c>
      <c r="D14" s="863">
        <v>2</v>
      </c>
      <c r="E14" s="864">
        <v>12.87</v>
      </c>
      <c r="F14" s="865">
        <v>70</v>
      </c>
      <c r="G14" s="868" t="str">
        <f t="shared" si="0"/>
        <v>-</v>
      </c>
      <c r="H14" s="867">
        <f t="shared" si="1"/>
        <v>2104</v>
      </c>
      <c r="I14" s="752">
        <v>0</v>
      </c>
      <c r="J14" s="489">
        <v>2104</v>
      </c>
      <c r="K14" s="909" t="str">
        <f>IF(I14&gt;0,ROUND(((G14+$S12+($S$36*$P12))/2.5),0),"-")</f>
        <v>-</v>
      </c>
      <c r="L14" s="909">
        <f>IF(J14&gt;0,ROUND(((H14+$S25+($S$36*$P25))/2.5),0),"-")</f>
        <v>1303</v>
      </c>
      <c r="M14" s="1072"/>
      <c r="N14" s="1072"/>
      <c r="O14" s="111">
        <f>'Эл-ты панельных ограждений - 1'!D16</f>
        <v>2.5</v>
      </c>
      <c r="P14" s="13">
        <f>'Эл-ты панельных ограждений - 1'!F16</f>
        <v>4</v>
      </c>
      <c r="Q14" s="16">
        <f>'Эл-ты панельных ограждений - 1'!G16</f>
        <v>6.7750000000000004</v>
      </c>
      <c r="R14" s="1074"/>
      <c r="S14" s="170">
        <f>'Эл-ты панельных ограждений - 1'!I16</f>
        <v>777</v>
      </c>
      <c r="U14" s="709"/>
      <c r="V14" s="709"/>
    </row>
    <row r="15" spans="1:24" customFormat="1" ht="21.95" customHeight="1">
      <c r="A15" s="1060"/>
      <c r="B15" s="785" t="s">
        <v>466</v>
      </c>
      <c r="C15" s="732">
        <v>3</v>
      </c>
      <c r="D15" s="733"/>
      <c r="E15" s="734">
        <v>11.81</v>
      </c>
      <c r="F15" s="735">
        <v>70</v>
      </c>
      <c r="G15" s="736">
        <f t="shared" si="0"/>
        <v>1755</v>
      </c>
      <c r="H15" s="883">
        <f t="shared" si="1"/>
        <v>1932</v>
      </c>
      <c r="I15" s="742">
        <v>1755</v>
      </c>
      <c r="J15" s="211">
        <v>1932</v>
      </c>
      <c r="K15" s="726">
        <f>IF(I15&gt;0,ROUND(((G15+$S13+($S$36*$P13))/2.5),0),"-")</f>
        <v>1076</v>
      </c>
      <c r="L15" s="727">
        <f>IF(J15&gt;0,ROUND(((H15+$S26+($S$36*$P26))/2.5),0),"-")</f>
        <v>1257</v>
      </c>
      <c r="M15" s="1072"/>
      <c r="N15" s="1072"/>
      <c r="O15" s="111">
        <f>'Эл-ты панельных ограждений - 1'!D18</f>
        <v>3</v>
      </c>
      <c r="P15" s="13">
        <f>'Эл-ты панельных ограждений - 1'!F18</f>
        <v>4</v>
      </c>
      <c r="Q15" s="16">
        <f>'Эл-ты панельных ограждений - 1'!G18</f>
        <v>8.129999999999999</v>
      </c>
      <c r="R15" s="1074"/>
      <c r="S15" s="170">
        <f>'Эл-ты панельных ограждений - 1'!I18</f>
        <v>930</v>
      </c>
      <c r="U15" s="709"/>
      <c r="V15" s="709"/>
    </row>
    <row r="16" spans="1:24" customFormat="1" ht="21.95" customHeight="1">
      <c r="A16" s="1060"/>
      <c r="B16" s="784" t="s">
        <v>476</v>
      </c>
      <c r="C16" s="743">
        <v>4</v>
      </c>
      <c r="D16" s="743" t="s">
        <v>460</v>
      </c>
      <c r="E16" s="744">
        <v>12.81</v>
      </c>
      <c r="F16" s="745">
        <v>70</v>
      </c>
      <c r="G16" s="737">
        <f t="shared" si="0"/>
        <v>1902</v>
      </c>
      <c r="H16" s="767">
        <f t="shared" si="1"/>
        <v>2094</v>
      </c>
      <c r="I16" s="742">
        <v>1902</v>
      </c>
      <c r="J16" s="211">
        <v>2094</v>
      </c>
      <c r="K16" s="726">
        <f>IF(I16&gt;0,ROUND(((G16+$S14+($S$36*$P14))/2.5),0),"-")</f>
        <v>1158</v>
      </c>
      <c r="L16" s="727">
        <f>IF(J16&gt;0,ROUND(((H16+$S27+($S$36*$P27))/2.5),0),"-")</f>
        <v>1360</v>
      </c>
      <c r="M16" s="1072"/>
      <c r="N16" s="1070"/>
      <c r="O16" s="112">
        <f>'Эл-ты панельных ограждений - 1'!D19</f>
        <v>4</v>
      </c>
      <c r="P16" s="18">
        <f>'Эл-ты панельных ограждений - 1'!F19</f>
        <v>6</v>
      </c>
      <c r="Q16" s="17">
        <f>'Эл-ты панельных ограждений - 1'!G19</f>
        <v>10.84</v>
      </c>
      <c r="R16" s="1082"/>
      <c r="S16" s="171">
        <f>'Эл-ты панельных ограждений - 1'!I19</f>
        <v>1239</v>
      </c>
      <c r="U16" s="709"/>
      <c r="V16" s="709"/>
    </row>
    <row r="17" spans="1:22" customFormat="1" ht="21.95" customHeight="1">
      <c r="A17" s="1060"/>
      <c r="B17" s="862" t="s">
        <v>477</v>
      </c>
      <c r="C17" s="863">
        <v>4</v>
      </c>
      <c r="D17" s="863">
        <v>2</v>
      </c>
      <c r="E17" s="864">
        <v>15.33</v>
      </c>
      <c r="F17" s="865">
        <v>70</v>
      </c>
      <c r="G17" s="866" t="str">
        <f t="shared" si="0"/>
        <v>-</v>
      </c>
      <c r="H17" s="867">
        <f t="shared" si="1"/>
        <v>2505</v>
      </c>
      <c r="I17" s="907">
        <v>0</v>
      </c>
      <c r="J17" s="908">
        <v>2505</v>
      </c>
      <c r="K17" s="909" t="str">
        <f>IF(I17&gt;0,ROUND(((G17+$S14+($S$36*$P14))/2.5),0),"-")</f>
        <v>-</v>
      </c>
      <c r="L17" s="909">
        <f>IF(J17&gt;0,ROUND(((H17+$S27+($S$36*$P27))/2.5),0),"-")</f>
        <v>1525</v>
      </c>
      <c r="M17" s="1072"/>
      <c r="N17" s="1069" t="s">
        <v>60</v>
      </c>
      <c r="O17" s="111">
        <f>'Эл-ты панельных ограждений - 1'!D22</f>
        <v>4</v>
      </c>
      <c r="P17" s="113">
        <f>'Эл-ты панельных ограждений - 1'!F22</f>
        <v>6</v>
      </c>
      <c r="Q17" s="16">
        <f>'Эл-ты панельных ограждений - 1'!G22</f>
        <v>15.52</v>
      </c>
      <c r="R17" s="1071">
        <f>'Эл-ты панельных ограждений - 1'!H20</f>
        <v>64</v>
      </c>
      <c r="S17" s="170">
        <f>'Эл-ты панельных ограждений - 1'!I22</f>
        <v>1798</v>
      </c>
      <c r="U17" s="709"/>
      <c r="V17" s="709"/>
    </row>
    <row r="18" spans="1:22" customFormat="1" ht="21.95" customHeight="1">
      <c r="A18" s="1060"/>
      <c r="B18" s="785" t="s">
        <v>467</v>
      </c>
      <c r="C18" s="732">
        <v>4</v>
      </c>
      <c r="D18" s="733"/>
      <c r="E18" s="734">
        <v>13.87</v>
      </c>
      <c r="F18" s="735">
        <v>70</v>
      </c>
      <c r="G18" s="736">
        <f t="shared" si="0"/>
        <v>2060</v>
      </c>
      <c r="H18" s="883">
        <f t="shared" si="1"/>
        <v>2268</v>
      </c>
      <c r="I18" s="742">
        <v>2060</v>
      </c>
      <c r="J18" s="211">
        <v>2268</v>
      </c>
      <c r="K18" s="726">
        <f>IF(I18&gt;0,ROUND(((G18+$S15+($S$36*$P15))/2.5),0),"-")</f>
        <v>1282</v>
      </c>
      <c r="L18" s="727">
        <f>IF(J18&gt;0,ROUND(((H18+$S28+($S$36*$P28))/2.5),0),"-")</f>
        <v>1517</v>
      </c>
      <c r="M18" s="1070"/>
      <c r="N18" s="1070"/>
      <c r="O18" s="131">
        <f>'Эл-ты панельных ограждений - 1'!D23</f>
        <v>5</v>
      </c>
      <c r="P18" s="196">
        <f>'Эл-ты панельных ограждений - 1'!F23</f>
        <v>8</v>
      </c>
      <c r="Q18" s="466">
        <f>'Эл-ты панельных ограждений - 1'!G23</f>
        <v>19.399999999999999</v>
      </c>
      <c r="R18" s="1071">
        <f>'Эл-ты панельных ограждений - 1'!H23</f>
        <v>0</v>
      </c>
      <c r="S18" s="468">
        <f>'Эл-ты панельных ограждений - 1'!I23</f>
        <v>2247</v>
      </c>
      <c r="U18" s="709"/>
      <c r="V18" s="709"/>
    </row>
    <row r="19" spans="1:22" customFormat="1" ht="21.95" customHeight="1">
      <c r="A19" s="1060"/>
      <c r="B19" s="784" t="s">
        <v>478</v>
      </c>
      <c r="C19" s="743">
        <v>4</v>
      </c>
      <c r="D19" s="743">
        <v>1.2</v>
      </c>
      <c r="E19" s="744">
        <v>14.93</v>
      </c>
      <c r="F19" s="745">
        <v>70</v>
      </c>
      <c r="G19" s="737">
        <f t="shared" si="0"/>
        <v>2217</v>
      </c>
      <c r="H19" s="767">
        <f t="shared" si="1"/>
        <v>2440</v>
      </c>
      <c r="I19" s="742">
        <v>2217</v>
      </c>
      <c r="J19" s="211">
        <v>2440</v>
      </c>
      <c r="K19" s="726">
        <f>IF(I19&gt;0,ROUND(((G19+$S15+($S$36*$P15))/2.5),0),"-")</f>
        <v>1345</v>
      </c>
      <c r="L19" s="727">
        <f>IF(J19&gt;0,ROUND(((H19+$S28+($S$36*$P28))/2.5),0),"-")</f>
        <v>1586</v>
      </c>
      <c r="M19" s="1069" t="s">
        <v>235</v>
      </c>
      <c r="N19" s="1069" t="s">
        <v>85</v>
      </c>
      <c r="O19" s="114">
        <f>'Эл-ты панельных ограждений - 1'!D27</f>
        <v>1.1000000000000001</v>
      </c>
      <c r="P19" s="12">
        <f>'Эл-ты панельных ограждений - 1'!F27</f>
        <v>2</v>
      </c>
      <c r="Q19" s="15">
        <f>'Эл-ты панельных ограждений - 1'!G27</f>
        <v>2.9810000000000003</v>
      </c>
      <c r="R19" s="1073">
        <f>'Эл-ты панельных ограждений - 1'!H26</f>
        <v>0</v>
      </c>
      <c r="S19" s="169">
        <f>'Эл-ты панельных ограждений - 1'!I27</f>
        <v>525</v>
      </c>
      <c r="U19" s="709"/>
      <c r="V19" s="709"/>
    </row>
    <row r="20" spans="1:22" customFormat="1" ht="21.95" customHeight="1">
      <c r="A20" s="1060"/>
      <c r="B20" s="786" t="s">
        <v>468</v>
      </c>
      <c r="C20" s="747">
        <v>4</v>
      </c>
      <c r="D20" s="748"/>
      <c r="E20" s="497">
        <v>15.31</v>
      </c>
      <c r="F20" s="499">
        <v>70</v>
      </c>
      <c r="G20" s="731">
        <f t="shared" si="0"/>
        <v>2275</v>
      </c>
      <c r="H20" s="881">
        <f t="shared" si="1"/>
        <v>2503</v>
      </c>
      <c r="I20" s="742">
        <v>2275</v>
      </c>
      <c r="J20" s="211">
        <v>2503</v>
      </c>
      <c r="K20" s="726">
        <f>IF(I20&gt;0,ROUND(((G20+$S17+($S$36*$P17))/2.5),0),"-")</f>
        <v>1759</v>
      </c>
      <c r="L20" s="727">
        <f>IF(J20&gt;0,ROUND(((H20+$S34+($S$36*$P34))/2.5),0),"-")</f>
        <v>2144</v>
      </c>
      <c r="M20" s="1072"/>
      <c r="N20" s="1072"/>
      <c r="O20" s="111">
        <f>'Эл-ты панельных ограждений - 1'!D28</f>
        <v>1.3</v>
      </c>
      <c r="P20" s="13">
        <f>'Эл-ты панельных ограждений - 1'!F28</f>
        <v>2</v>
      </c>
      <c r="Q20" s="16">
        <f>'Эл-ты панельных ограждений - 1'!G28</f>
        <v>3.5230000000000001</v>
      </c>
      <c r="R20" s="1074"/>
      <c r="S20" s="170">
        <f>'Эл-ты панельных ограждений - 1'!I28</f>
        <v>621</v>
      </c>
      <c r="U20" s="709"/>
      <c r="V20" s="709"/>
    </row>
    <row r="21" spans="1:22" customFormat="1" ht="21.95" customHeight="1">
      <c r="A21" s="1060"/>
      <c r="B21" s="787" t="s">
        <v>469</v>
      </c>
      <c r="C21" s="495">
        <v>4</v>
      </c>
      <c r="D21" s="496"/>
      <c r="E21" s="490">
        <v>16.32</v>
      </c>
      <c r="F21" s="494">
        <v>70</v>
      </c>
      <c r="G21" s="723">
        <f t="shared" si="0"/>
        <v>2425</v>
      </c>
      <c r="H21" s="884">
        <f t="shared" si="1"/>
        <v>2667</v>
      </c>
      <c r="I21" s="742">
        <v>2425</v>
      </c>
      <c r="J21" s="211">
        <v>2667</v>
      </c>
      <c r="K21" s="726">
        <f>IF(I21&gt;0,ROUND(((G21+$S17+($S$36*$P17))/2.5),0),"-")</f>
        <v>1819</v>
      </c>
      <c r="L21" s="727">
        <f>IF(J21&gt;0,ROUND(((H21+$S34+($S$36*$P34))/2.5),0),"-")</f>
        <v>2210</v>
      </c>
      <c r="M21" s="1072"/>
      <c r="N21" s="1072"/>
      <c r="O21" s="111">
        <f>'Эл-ты панельных ограждений - 1'!D30</f>
        <v>1.5</v>
      </c>
      <c r="P21" s="13">
        <f>'Эл-ты панельных ограждений - 1'!F30</f>
        <v>2</v>
      </c>
      <c r="Q21" s="16">
        <f>'Эл-ты панельных ограждений - 1'!G30</f>
        <v>4.0649999999999995</v>
      </c>
      <c r="R21" s="1074"/>
      <c r="S21" s="170">
        <f>'Эл-ты панельных ограждений - 1'!I30</f>
        <v>697</v>
      </c>
      <c r="U21" s="709"/>
      <c r="V21" s="709"/>
    </row>
    <row r="22" spans="1:22" customFormat="1" ht="21.95" customHeight="1">
      <c r="A22" s="1060"/>
      <c r="B22" s="787" t="s">
        <v>470</v>
      </c>
      <c r="C22" s="495">
        <v>4</v>
      </c>
      <c r="D22" s="496"/>
      <c r="E22" s="490">
        <v>17.34</v>
      </c>
      <c r="F22" s="494">
        <v>70</v>
      </c>
      <c r="G22" s="723">
        <f t="shared" si="0"/>
        <v>2679</v>
      </c>
      <c r="H22" s="884">
        <f t="shared" si="1"/>
        <v>2939</v>
      </c>
      <c r="I22" s="742">
        <v>2679</v>
      </c>
      <c r="J22" s="211">
        <v>2939</v>
      </c>
      <c r="K22" s="726">
        <f>IF(I22&gt;0,ROUND(((G22+$S17+($S$36*$P17))/2.5),0),"-")</f>
        <v>1920</v>
      </c>
      <c r="L22" s="727">
        <f>IF(J22&gt;0,ROUND(((H22+$S34+($S$36*$P34))/2.5),0),"-")</f>
        <v>2318</v>
      </c>
      <c r="M22" s="1072"/>
      <c r="N22" s="1072"/>
      <c r="O22" s="111">
        <f>'Эл-ты панельных ограждений - 1'!D31</f>
        <v>1.7</v>
      </c>
      <c r="P22" s="13">
        <f>'Эл-ты панельных ограждений - 1'!F31</f>
        <v>2</v>
      </c>
      <c r="Q22" s="16">
        <f>'Эл-ты панельных ограждений - 1'!G31</f>
        <v>4.6070000000000002</v>
      </c>
      <c r="R22" s="1074"/>
      <c r="S22" s="170">
        <f>'Эл-ты панельных ограждений - 1'!I31</f>
        <v>790</v>
      </c>
      <c r="U22" s="709"/>
      <c r="V22" s="709"/>
    </row>
    <row r="23" spans="1:22" customFormat="1" ht="21.95" customHeight="1" thickBot="1">
      <c r="A23" s="1061"/>
      <c r="B23" s="788" t="s">
        <v>471</v>
      </c>
      <c r="C23" s="770">
        <v>5</v>
      </c>
      <c r="D23" s="771"/>
      <c r="E23" s="772">
        <v>19.3</v>
      </c>
      <c r="F23" s="773">
        <v>70</v>
      </c>
      <c r="G23" s="774">
        <f t="shared" si="0"/>
        <v>2981</v>
      </c>
      <c r="H23" s="885">
        <f t="shared" si="1"/>
        <v>3270</v>
      </c>
      <c r="I23" s="742">
        <v>2981</v>
      </c>
      <c r="J23" s="211">
        <v>3270</v>
      </c>
      <c r="K23" s="726">
        <f>IF(I23&gt;0,ROUND(((G23+$S18+($S$36*$P18))/2.5),0),"-")</f>
        <v>2264</v>
      </c>
      <c r="L23" s="727">
        <f>IF(J23&gt;0,ROUND(((H23+$S35+($S$36*$P35))/2.5),0),"-")</f>
        <v>2747</v>
      </c>
      <c r="M23" s="1072"/>
      <c r="N23" s="1072"/>
      <c r="O23" s="111">
        <f>'Эл-ты панельных ограждений - 1'!D32</f>
        <v>1.9</v>
      </c>
      <c r="P23" s="13">
        <f>'Эл-ты панельных ограждений - 1'!F32</f>
        <v>2</v>
      </c>
      <c r="Q23" s="16">
        <f>'Эл-ты панельных ограждений - 1'!G32</f>
        <v>5.149</v>
      </c>
      <c r="R23" s="1074"/>
      <c r="S23" s="170">
        <f>'Эл-ты панельных ограждений - 1'!I32</f>
        <v>881</v>
      </c>
      <c r="U23" s="709"/>
      <c r="V23" s="709"/>
    </row>
    <row r="24" spans="1:22" customFormat="1" ht="21.95" customHeight="1">
      <c r="A24" s="1059" t="s">
        <v>676</v>
      </c>
      <c r="B24" s="802" t="s">
        <v>462</v>
      </c>
      <c r="C24" s="794">
        <v>2</v>
      </c>
      <c r="D24" s="795"/>
      <c r="E24" s="796">
        <v>7.09</v>
      </c>
      <c r="F24" s="797">
        <v>180</v>
      </c>
      <c r="G24" s="798">
        <f t="shared" si="0"/>
        <v>1166</v>
      </c>
      <c r="H24" s="886">
        <f t="shared" si="1"/>
        <v>1247</v>
      </c>
      <c r="I24" s="740">
        <v>1166</v>
      </c>
      <c r="J24" s="212">
        <v>1247</v>
      </c>
      <c r="K24" s="505">
        <f t="shared" ref="K24:K32" si="4">IF(I24&gt;0,ROUND(((G24+S6+($S$36*P6))/2.5),0),"-")</f>
        <v>671</v>
      </c>
      <c r="L24" s="506">
        <f t="shared" ref="L24:L33" si="5">IF(I24&gt;0,ROUND(((H24+S19+($S$36*P19))/2.5),0),"-")</f>
        <v>752</v>
      </c>
      <c r="M24" s="1072"/>
      <c r="N24" s="1072"/>
      <c r="O24" s="111">
        <f>'Эл-ты панельных ограждений - 1'!D34</f>
        <v>2</v>
      </c>
      <c r="P24" s="13">
        <f>'Эл-ты панельных ограждений - 1'!F34</f>
        <v>3</v>
      </c>
      <c r="Q24" s="16">
        <f>'Эл-ты панельных ограждений - 1'!G34</f>
        <v>5.42</v>
      </c>
      <c r="R24" s="1074"/>
      <c r="S24" s="170">
        <f>'Эл-ты панельных ограждений - 1'!I34</f>
        <v>900</v>
      </c>
      <c r="U24" s="709"/>
      <c r="V24" s="709"/>
    </row>
    <row r="25" spans="1:22" customFormat="1" ht="21.95" customHeight="1">
      <c r="A25" s="1060"/>
      <c r="B25" s="803" t="s">
        <v>463</v>
      </c>
      <c r="C25" s="728">
        <v>2</v>
      </c>
      <c r="D25" s="729"/>
      <c r="E25" s="504">
        <v>8.77</v>
      </c>
      <c r="F25" s="502">
        <v>60</v>
      </c>
      <c r="G25" s="730">
        <f t="shared" si="0"/>
        <v>1445</v>
      </c>
      <c r="H25" s="887">
        <f t="shared" si="1"/>
        <v>1539</v>
      </c>
      <c r="I25" s="742">
        <v>1445</v>
      </c>
      <c r="J25" s="211">
        <v>1539</v>
      </c>
      <c r="K25" s="507">
        <f t="shared" si="4"/>
        <v>812</v>
      </c>
      <c r="L25" s="508">
        <f t="shared" si="5"/>
        <v>907</v>
      </c>
      <c r="M25" s="1072"/>
      <c r="N25" s="1072"/>
      <c r="O25" s="111">
        <f>'Эл-ты панельных ограждений - 1'!D35</f>
        <v>2.2000000000000002</v>
      </c>
      <c r="P25" s="13">
        <f>'Эл-ты панельных ограждений - 1'!F35</f>
        <v>3</v>
      </c>
      <c r="Q25" s="16">
        <f>'Эл-ты панельных ограждений - 1'!G35</f>
        <v>5.9620000000000006</v>
      </c>
      <c r="R25" s="1074"/>
      <c r="S25" s="170">
        <f>'Эл-ты панельных ограждений - 1'!I35</f>
        <v>992</v>
      </c>
      <c r="U25" s="709"/>
      <c r="V25" s="709"/>
    </row>
    <row r="26" spans="1:22" customFormat="1" ht="21.95" customHeight="1">
      <c r="A26" s="1060"/>
      <c r="B26" s="781" t="s">
        <v>472</v>
      </c>
      <c r="C26" s="743">
        <v>2</v>
      </c>
      <c r="D26" s="743" t="s">
        <v>461</v>
      </c>
      <c r="E26" s="744">
        <v>10.45</v>
      </c>
      <c r="F26" s="745">
        <v>60</v>
      </c>
      <c r="G26" s="746">
        <f t="shared" si="0"/>
        <v>1598</v>
      </c>
      <c r="H26" s="804">
        <f t="shared" si="1"/>
        <v>1709</v>
      </c>
      <c r="I26" s="742">
        <v>1598</v>
      </c>
      <c r="J26" s="211">
        <v>1709</v>
      </c>
      <c r="K26" s="507">
        <f t="shared" si="4"/>
        <v>885</v>
      </c>
      <c r="L26" s="508">
        <f t="shared" si="5"/>
        <v>1006</v>
      </c>
      <c r="M26" s="1072"/>
      <c r="N26" s="1072"/>
      <c r="O26" s="111">
        <f>'Эл-ты панельных ограждений - 1'!D36</f>
        <v>2.4</v>
      </c>
      <c r="P26" s="13">
        <f>'Эл-ты панельных ограждений - 1'!F36</f>
        <v>3</v>
      </c>
      <c r="Q26" s="16">
        <f>'Эл-ты панельных ограждений - 1'!G36</f>
        <v>6.5039999999999996</v>
      </c>
      <c r="R26" s="1074"/>
      <c r="S26" s="170">
        <f>'Эл-ты панельных ограждений - 1'!I36</f>
        <v>1048</v>
      </c>
      <c r="U26" s="709"/>
      <c r="V26" s="709"/>
    </row>
    <row r="27" spans="1:22" customFormat="1" ht="21.95" customHeight="1">
      <c r="A27" s="1060"/>
      <c r="B27" s="782" t="s">
        <v>464</v>
      </c>
      <c r="C27" s="497">
        <v>2</v>
      </c>
      <c r="D27" s="491"/>
      <c r="E27" s="498">
        <v>12.14</v>
      </c>
      <c r="F27" s="499">
        <v>60</v>
      </c>
      <c r="G27" s="731">
        <f t="shared" si="0"/>
        <v>1854</v>
      </c>
      <c r="H27" s="888">
        <f t="shared" si="1"/>
        <v>1985</v>
      </c>
      <c r="I27" s="742">
        <v>1854</v>
      </c>
      <c r="J27" s="211">
        <v>1985</v>
      </c>
      <c r="K27" s="507">
        <f t="shared" si="4"/>
        <v>1015</v>
      </c>
      <c r="L27" s="508">
        <f t="shared" si="5"/>
        <v>1153</v>
      </c>
      <c r="M27" s="1072"/>
      <c r="N27" s="1072"/>
      <c r="O27" s="111">
        <f>'Эл-ты панельных ограждений - 1'!D38</f>
        <v>2.5</v>
      </c>
      <c r="P27" s="13">
        <f>'Эл-ты панельных ограждений - 1'!F38</f>
        <v>4</v>
      </c>
      <c r="Q27" s="16">
        <f>'Эл-ты панельных ограждений - 1'!G38</f>
        <v>6.7750000000000004</v>
      </c>
      <c r="R27" s="1074"/>
      <c r="S27" s="170">
        <f>'Эл-ты панельных ограждений - 1'!I38</f>
        <v>1091</v>
      </c>
      <c r="U27" s="709"/>
      <c r="V27" s="709"/>
    </row>
    <row r="28" spans="1:22" customFormat="1" ht="21.95" customHeight="1">
      <c r="A28" s="1060"/>
      <c r="B28" s="783" t="s">
        <v>465</v>
      </c>
      <c r="C28" s="728">
        <v>2</v>
      </c>
      <c r="D28" s="729"/>
      <c r="E28" s="504">
        <v>13.83</v>
      </c>
      <c r="F28" s="502">
        <v>60</v>
      </c>
      <c r="G28" s="730">
        <f t="shared" si="0"/>
        <v>2029</v>
      </c>
      <c r="H28" s="887">
        <f t="shared" si="1"/>
        <v>2176</v>
      </c>
      <c r="I28" s="742">
        <v>2029</v>
      </c>
      <c r="J28" s="211">
        <v>2176</v>
      </c>
      <c r="K28" s="507">
        <f t="shared" si="4"/>
        <v>1101</v>
      </c>
      <c r="L28" s="508">
        <f t="shared" si="5"/>
        <v>1266</v>
      </c>
      <c r="M28" s="1072"/>
      <c r="N28" s="1072"/>
      <c r="O28" s="111">
        <f>'Эл-ты панельных ограждений - 1'!D40</f>
        <v>3</v>
      </c>
      <c r="P28" s="13">
        <f>'Эл-ты панельных ограждений - 1'!F40</f>
        <v>4</v>
      </c>
      <c r="Q28" s="16">
        <f>'Эл-ты панельных ограждений - 1'!G40</f>
        <v>8.129999999999999</v>
      </c>
      <c r="R28" s="1074"/>
      <c r="S28" s="170">
        <f>'Эл-ты панельных ограждений - 1'!I40</f>
        <v>1309</v>
      </c>
      <c r="U28" s="709"/>
      <c r="V28" s="709"/>
    </row>
    <row r="29" spans="1:22" customFormat="1" ht="21.95" customHeight="1">
      <c r="A29" s="1060"/>
      <c r="B29" s="784" t="s">
        <v>473</v>
      </c>
      <c r="C29" s="743">
        <v>3</v>
      </c>
      <c r="D29" s="743">
        <v>1.2</v>
      </c>
      <c r="E29" s="744">
        <v>15.41</v>
      </c>
      <c r="F29" s="745">
        <v>60</v>
      </c>
      <c r="G29" s="746">
        <f t="shared" si="0"/>
        <v>2261</v>
      </c>
      <c r="H29" s="804">
        <f t="shared" si="1"/>
        <v>2425</v>
      </c>
      <c r="I29" s="742">
        <v>2261</v>
      </c>
      <c r="J29" s="211">
        <v>2425</v>
      </c>
      <c r="K29" s="507">
        <f t="shared" si="4"/>
        <v>1228</v>
      </c>
      <c r="L29" s="508">
        <f t="shared" si="5"/>
        <v>1395</v>
      </c>
      <c r="M29" s="1072"/>
      <c r="N29" s="1072"/>
      <c r="O29" s="286">
        <f>'Эл-ты панельных ограждений - 1'!D41</f>
        <v>4</v>
      </c>
      <c r="P29" s="197">
        <f>'Эл-ты панельных ограждений - 1'!F41</f>
        <v>6</v>
      </c>
      <c r="Q29" s="198">
        <f>'Эл-ты панельных ограждений - 1'!G41</f>
        <v>10.84</v>
      </c>
      <c r="R29" s="1074"/>
      <c r="S29" s="199">
        <f>'Эл-ты панельных ограждений - 1'!I41</f>
        <v>1703</v>
      </c>
      <c r="U29" s="709"/>
      <c r="V29" s="709"/>
    </row>
    <row r="30" spans="1:22" customFormat="1" ht="21.95" customHeight="1">
      <c r="A30" s="1060"/>
      <c r="B30" s="857" t="s">
        <v>474</v>
      </c>
      <c r="C30" s="858">
        <v>3</v>
      </c>
      <c r="D30" s="858">
        <v>1.2</v>
      </c>
      <c r="E30" s="859">
        <v>17.09</v>
      </c>
      <c r="F30" s="860">
        <v>60</v>
      </c>
      <c r="G30" s="879">
        <f t="shared" si="0"/>
        <v>2406</v>
      </c>
      <c r="H30" s="880">
        <f t="shared" si="1"/>
        <v>2588</v>
      </c>
      <c r="I30" s="742">
        <v>2406</v>
      </c>
      <c r="J30" s="211">
        <v>2588</v>
      </c>
      <c r="K30" s="507">
        <f t="shared" si="4"/>
        <v>1312</v>
      </c>
      <c r="L30" s="508">
        <f t="shared" si="5"/>
        <v>1497</v>
      </c>
      <c r="M30" s="1072"/>
      <c r="N30" s="1069" t="s">
        <v>288</v>
      </c>
      <c r="O30" s="114">
        <f>'Эл-ты панельных ограждений - 1'!D24</f>
        <v>4</v>
      </c>
      <c r="P30" s="12">
        <f>'Эл-ты панельных ограждений - 1'!F24</f>
        <v>6</v>
      </c>
      <c r="Q30" s="15">
        <f>'Эл-ты панельных ограждений - 1'!G24</f>
        <v>16.72</v>
      </c>
      <c r="R30" s="1022">
        <f>'Эл-ты панельных ограждений - 1'!H24</f>
        <v>72</v>
      </c>
      <c r="S30" s="169">
        <f>'Эл-ты панельных ограждений - 1'!I24</f>
        <v>2787</v>
      </c>
      <c r="U30" s="709"/>
      <c r="V30" s="709"/>
    </row>
    <row r="31" spans="1:22" customFormat="1" ht="21.95" customHeight="1">
      <c r="A31" s="1060"/>
      <c r="B31" s="805" t="s">
        <v>466</v>
      </c>
      <c r="C31" s="732">
        <v>3</v>
      </c>
      <c r="D31" s="733"/>
      <c r="E31" s="734">
        <v>18.78</v>
      </c>
      <c r="F31" s="735">
        <v>60</v>
      </c>
      <c r="G31" s="736">
        <f t="shared" si="0"/>
        <v>2643</v>
      </c>
      <c r="H31" s="891">
        <f t="shared" si="1"/>
        <v>2842</v>
      </c>
      <c r="I31" s="742">
        <v>2643</v>
      </c>
      <c r="J31" s="211">
        <v>2842</v>
      </c>
      <c r="K31" s="507">
        <f t="shared" si="4"/>
        <v>1431</v>
      </c>
      <c r="L31" s="508">
        <f t="shared" si="5"/>
        <v>1621</v>
      </c>
      <c r="M31" s="1072"/>
      <c r="N31" s="1070"/>
      <c r="O31" s="112">
        <f>'Эл-ты панельных ограждений - 1'!D25</f>
        <v>5</v>
      </c>
      <c r="P31" s="18">
        <f>'Эл-ты панельных ограждений - 1'!F25</f>
        <v>8</v>
      </c>
      <c r="Q31" s="17">
        <f>'Эл-ты панельных ограждений - 1'!G25</f>
        <v>20.9</v>
      </c>
      <c r="R31" s="1075"/>
      <c r="S31" s="171">
        <f>'Эл-ты панельных ограждений - 1'!I25</f>
        <v>3483</v>
      </c>
      <c r="U31" s="709"/>
      <c r="V31" s="709"/>
    </row>
    <row r="32" spans="1:22" customFormat="1" ht="21.95" customHeight="1">
      <c r="A32" s="1060"/>
      <c r="B32" s="784" t="s">
        <v>476</v>
      </c>
      <c r="C32" s="743">
        <v>4</v>
      </c>
      <c r="D32" s="743" t="s">
        <v>461</v>
      </c>
      <c r="E32" s="744">
        <v>20.36</v>
      </c>
      <c r="F32" s="745">
        <v>60</v>
      </c>
      <c r="G32" s="746">
        <f t="shared" si="0"/>
        <v>2866</v>
      </c>
      <c r="H32" s="804">
        <f t="shared" si="1"/>
        <v>3082</v>
      </c>
      <c r="I32" s="742">
        <v>2866</v>
      </c>
      <c r="J32" s="211">
        <v>3082</v>
      </c>
      <c r="K32" s="507">
        <f t="shared" si="4"/>
        <v>1544</v>
      </c>
      <c r="L32" s="508">
        <f t="shared" si="5"/>
        <v>1756</v>
      </c>
      <c r="M32" s="1072"/>
      <c r="N32" s="1069" t="s">
        <v>290</v>
      </c>
      <c r="O32" s="153">
        <f>'Эл-ты панельных ограждений - 1'!D42</f>
        <v>4</v>
      </c>
      <c r="P32" s="154">
        <f>'Эл-ты панельных ограждений - 1'!F42</f>
        <v>6</v>
      </c>
      <c r="Q32" s="155">
        <f>'Эл-ты панельных ограждений - 1'!G42</f>
        <v>19.2</v>
      </c>
      <c r="R32" s="1022">
        <f>'Эл-ты панельных ограждений - 1'!H42</f>
        <v>54</v>
      </c>
      <c r="S32" s="200">
        <f>'Эл-ты панельных ограждений - 1'!I42</f>
        <v>3042</v>
      </c>
      <c r="U32" s="709"/>
      <c r="V32" s="709"/>
    </row>
    <row r="33" spans="1:22" customFormat="1" ht="21.95" customHeight="1">
      <c r="A33" s="1060"/>
      <c r="B33" s="805" t="s">
        <v>467</v>
      </c>
      <c r="C33" s="732">
        <v>4</v>
      </c>
      <c r="D33" s="733"/>
      <c r="E33" s="734">
        <v>22.04</v>
      </c>
      <c r="F33" s="735">
        <v>60</v>
      </c>
      <c r="G33" s="736">
        <f t="shared" si="0"/>
        <v>3102</v>
      </c>
      <c r="H33" s="891">
        <f t="shared" si="1"/>
        <v>3336</v>
      </c>
      <c r="I33" s="742">
        <v>3102</v>
      </c>
      <c r="J33" s="211">
        <v>3336</v>
      </c>
      <c r="K33" s="507">
        <f>IF(I33&gt;0,ROUND(((G33+S14+($S$36*P14))/2.5),0),"-")</f>
        <v>1638</v>
      </c>
      <c r="L33" s="508">
        <f t="shared" si="5"/>
        <v>1944</v>
      </c>
      <c r="M33" s="1072"/>
      <c r="N33" s="1070"/>
      <c r="O33" s="112">
        <f>'Эл-ты панельных ограждений - 1'!D43</f>
        <v>5</v>
      </c>
      <c r="P33" s="18">
        <f>'Эл-ты панельных ограждений - 1'!F43</f>
        <v>8</v>
      </c>
      <c r="Q33" s="17">
        <f>'Эл-ты панельных ограждений - 1'!G43</f>
        <v>24</v>
      </c>
      <c r="R33" s="1075"/>
      <c r="S33" s="171">
        <f>'Эл-ты панельных ограждений - 1'!I43</f>
        <v>3883</v>
      </c>
      <c r="U33" s="709"/>
      <c r="V33" s="709"/>
    </row>
    <row r="34" spans="1:22" customFormat="1" ht="21.95" customHeight="1">
      <c r="A34" s="1060"/>
      <c r="B34" s="784" t="s">
        <v>478</v>
      </c>
      <c r="C34" s="743">
        <v>4</v>
      </c>
      <c r="D34" s="743" t="s">
        <v>461</v>
      </c>
      <c r="E34" s="744">
        <v>23.72</v>
      </c>
      <c r="F34" s="745">
        <v>60</v>
      </c>
      <c r="G34" s="746">
        <f t="shared" si="0"/>
        <v>3340</v>
      </c>
      <c r="H34" s="804">
        <f t="shared" si="1"/>
        <v>3590</v>
      </c>
      <c r="I34" s="742">
        <v>3340</v>
      </c>
      <c r="J34" s="211">
        <v>3590</v>
      </c>
      <c r="K34" s="507">
        <f>IF(I34&gt;0,ROUND(((G34+S15+($S$36*P15))/2.5),0),"-")</f>
        <v>1794</v>
      </c>
      <c r="L34" s="508">
        <f>IF(I34&gt;0,ROUND(((H34+S28+($S$36*P28))/2.5),0),"-")</f>
        <v>2046</v>
      </c>
      <c r="M34" s="1072"/>
      <c r="N34" s="1069" t="s">
        <v>60</v>
      </c>
      <c r="O34" s="111">
        <f>'Эл-ты панельных ограждений - 1'!D48</f>
        <v>4</v>
      </c>
      <c r="P34" s="13">
        <f>'Эл-ты панельных ограждений - 1'!F48</f>
        <v>6</v>
      </c>
      <c r="Q34" s="16">
        <f>'Эл-ты панельных ограждений - 1'!G48</f>
        <v>15.52</v>
      </c>
      <c r="R34" s="1022">
        <f>'Эл-ты панельных ограждений - 1'!H48</f>
        <v>64</v>
      </c>
      <c r="S34" s="170">
        <f>'Эл-ты панельных ограждений - 1'!I48</f>
        <v>2533</v>
      </c>
      <c r="U34" s="709"/>
      <c r="V34" s="709"/>
    </row>
    <row r="35" spans="1:22" customFormat="1" ht="21.95" customHeight="1">
      <c r="A35" s="1060"/>
      <c r="B35" s="782" t="s">
        <v>468</v>
      </c>
      <c r="C35" s="497">
        <v>4</v>
      </c>
      <c r="D35" s="491"/>
      <c r="E35" s="498">
        <v>24.33</v>
      </c>
      <c r="F35" s="499">
        <v>60</v>
      </c>
      <c r="G35" s="731">
        <f t="shared" si="0"/>
        <v>3425</v>
      </c>
      <c r="H35" s="888">
        <f t="shared" si="1"/>
        <v>3681</v>
      </c>
      <c r="I35" s="742">
        <v>3425</v>
      </c>
      <c r="J35" s="211">
        <v>3681</v>
      </c>
      <c r="K35" s="507">
        <f>IF(I35&gt;0,ROUND(((G35+S17+($S$36*P17))/2.5),0),"-")</f>
        <v>2219</v>
      </c>
      <c r="L35" s="508">
        <f>IF(I35&gt;0,ROUND(((H35+S34+($S$36*P34))/2.5),0),"-")</f>
        <v>2615</v>
      </c>
      <c r="M35" s="1070"/>
      <c r="N35" s="1070"/>
      <c r="O35" s="112">
        <f>'Эл-ты панельных ограждений - 1'!D49</f>
        <v>5</v>
      </c>
      <c r="P35" s="18">
        <f>'Эл-ты панельных ограждений - 1'!F49</f>
        <v>8</v>
      </c>
      <c r="Q35" s="17">
        <f>'Эл-ты панельных ограждений - 1'!G49</f>
        <v>19.399999999999999</v>
      </c>
      <c r="R35" s="1075"/>
      <c r="S35" s="171">
        <f>'Эл-ты панельных ограждений - 1'!I49</f>
        <v>3166</v>
      </c>
      <c r="U35" s="709"/>
      <c r="V35" s="709"/>
    </row>
    <row r="36" spans="1:22" customFormat="1" ht="21.95" customHeight="1">
      <c r="A36" s="1060"/>
      <c r="B36" s="806" t="s">
        <v>469</v>
      </c>
      <c r="C36" s="490">
        <v>4</v>
      </c>
      <c r="D36" s="492"/>
      <c r="E36" s="493">
        <v>25.94</v>
      </c>
      <c r="F36" s="494">
        <v>60</v>
      </c>
      <c r="G36" s="723">
        <f t="shared" si="0"/>
        <v>3652</v>
      </c>
      <c r="H36" s="889">
        <f t="shared" si="1"/>
        <v>3925</v>
      </c>
      <c r="I36" s="742">
        <v>3652</v>
      </c>
      <c r="J36" s="211">
        <v>3925</v>
      </c>
      <c r="K36" s="507">
        <f>IF(I36&gt;0,ROUND(((G36+S17+($S$36*P17))/2.5),0),"-")</f>
        <v>2310</v>
      </c>
      <c r="L36" s="508">
        <f>IF(I36&gt;0,ROUND(((H36+S34+($S$36*P34))/2.5),0),"-")</f>
        <v>2713</v>
      </c>
      <c r="M36" s="1083" t="s">
        <v>90</v>
      </c>
      <c r="N36" s="1084"/>
      <c r="O36" s="1085"/>
      <c r="P36" s="1090" t="s">
        <v>323</v>
      </c>
      <c r="Q36" s="1093">
        <f>'Эл-ты панельных ограждений - 1'!G50</f>
        <v>0.05</v>
      </c>
      <c r="R36" s="1073">
        <f>'Эл-ты панельных ограждений - 1'!H50</f>
        <v>100</v>
      </c>
      <c r="S36" s="1076">
        <f>'Эл-ты панельных ограждений - 1'!I50</f>
        <v>54</v>
      </c>
      <c r="U36" s="709"/>
      <c r="V36" s="709"/>
    </row>
    <row r="37" spans="1:22" customFormat="1" ht="21.95" customHeight="1">
      <c r="A37" s="1060"/>
      <c r="B37" s="806" t="s">
        <v>470</v>
      </c>
      <c r="C37" s="490">
        <v>4</v>
      </c>
      <c r="D37" s="492"/>
      <c r="E37" s="493">
        <v>27.55</v>
      </c>
      <c r="F37" s="494">
        <v>60</v>
      </c>
      <c r="G37" s="723">
        <f t="shared" si="0"/>
        <v>4042</v>
      </c>
      <c r="H37" s="889">
        <f t="shared" si="1"/>
        <v>4334</v>
      </c>
      <c r="I37" s="742">
        <v>4042</v>
      </c>
      <c r="J37" s="211">
        <v>4334</v>
      </c>
      <c r="K37" s="507">
        <f>IF(I37&gt;0,ROUND(((G37+S17+($S$36*P17))/2.5),0),"-")</f>
        <v>2466</v>
      </c>
      <c r="L37" s="508">
        <f>IF(I37&gt;0,ROUND(((H37+S34+($S$36*P34))/2.5),0),"-")</f>
        <v>2876</v>
      </c>
      <c r="M37" s="1086"/>
      <c r="N37" s="1087"/>
      <c r="O37" s="1088"/>
      <c r="P37" s="1091"/>
      <c r="Q37" s="1094"/>
      <c r="R37" s="1074"/>
      <c r="S37" s="1077"/>
      <c r="U37" s="709"/>
      <c r="V37" s="709"/>
    </row>
    <row r="38" spans="1:22" customFormat="1" ht="21.95" customHeight="1" thickBot="1">
      <c r="A38" s="1061"/>
      <c r="B38" s="807" t="s">
        <v>471</v>
      </c>
      <c r="C38" s="772">
        <v>5</v>
      </c>
      <c r="D38" s="799"/>
      <c r="E38" s="800">
        <v>30.68</v>
      </c>
      <c r="F38" s="773">
        <v>60</v>
      </c>
      <c r="G38" s="774">
        <f t="shared" si="0"/>
        <v>4502</v>
      </c>
      <c r="H38" s="890">
        <f t="shared" si="1"/>
        <v>4828</v>
      </c>
      <c r="I38" s="793">
        <v>4502</v>
      </c>
      <c r="J38" s="472">
        <v>4828</v>
      </c>
      <c r="K38" s="509">
        <f>IF(I38&gt;0,ROUND(((G38+S18+($S$36*P18))/2.5),0),"-")</f>
        <v>2872</v>
      </c>
      <c r="L38" s="510">
        <f>IF(I38&gt;0,ROUND(((H38+S35+($S$36*P35))/2.5),0),"-")</f>
        <v>3370</v>
      </c>
      <c r="M38" s="1030"/>
      <c r="N38" s="1089"/>
      <c r="O38" s="1031"/>
      <c r="P38" s="1092"/>
      <c r="Q38" s="1095"/>
      <c r="R38" s="1082"/>
      <c r="S38" s="1078"/>
      <c r="U38" s="709"/>
      <c r="V38" s="709"/>
    </row>
    <row r="39" spans="1:22" customFormat="1" ht="21.95" customHeight="1">
      <c r="A39" s="1079" t="s">
        <v>497</v>
      </c>
      <c r="B39" s="839" t="s">
        <v>462</v>
      </c>
      <c r="C39" s="797">
        <v>2</v>
      </c>
      <c r="D39" s="901"/>
      <c r="E39" s="796">
        <v>11.04</v>
      </c>
      <c r="F39" s="797">
        <v>50</v>
      </c>
      <c r="G39" s="798">
        <f t="shared" si="0"/>
        <v>1844</v>
      </c>
      <c r="H39" s="899">
        <f t="shared" si="1"/>
        <v>1939</v>
      </c>
      <c r="I39" s="740">
        <v>1844</v>
      </c>
      <c r="J39" s="212">
        <v>1939</v>
      </c>
      <c r="K39" s="505">
        <f t="shared" ref="K39:K48" si="6">ROUND(((G39+S6+($S$36*P6))/2.5),0)</f>
        <v>942</v>
      </c>
      <c r="L39" s="506">
        <f t="shared" ref="L39:L48" si="7">ROUND(((H39+S19+($S$36*P19))/2.5),0)</f>
        <v>1029</v>
      </c>
      <c r="M39" s="484"/>
      <c r="N39" s="484"/>
      <c r="O39" s="484"/>
      <c r="P39" s="485"/>
      <c r="Q39" s="486"/>
      <c r="R39" s="487"/>
      <c r="S39" s="488"/>
      <c r="U39" s="709"/>
      <c r="V39" s="709"/>
    </row>
    <row r="40" spans="1:22" customFormat="1" ht="21.95" customHeight="1">
      <c r="A40" s="1080"/>
      <c r="B40" s="213" t="s">
        <v>463</v>
      </c>
      <c r="C40" s="499">
        <v>2</v>
      </c>
      <c r="D40" s="500"/>
      <c r="E40" s="498">
        <v>13.66</v>
      </c>
      <c r="F40" s="499">
        <v>50</v>
      </c>
      <c r="G40" s="723">
        <f t="shared" si="0"/>
        <v>2283</v>
      </c>
      <c r="H40" s="801">
        <f t="shared" si="1"/>
        <v>2398</v>
      </c>
      <c r="I40" s="742">
        <v>2283</v>
      </c>
      <c r="J40" s="211">
        <v>2398</v>
      </c>
      <c r="K40" s="507">
        <f t="shared" si="6"/>
        <v>1147</v>
      </c>
      <c r="L40" s="508">
        <f t="shared" si="7"/>
        <v>1251</v>
      </c>
      <c r="M40" s="484"/>
      <c r="N40" s="484"/>
      <c r="O40" s="484"/>
      <c r="P40" s="485"/>
      <c r="Q40" s="486"/>
      <c r="R40" s="487"/>
      <c r="S40" s="488"/>
      <c r="U40" s="709"/>
      <c r="V40" s="709"/>
    </row>
    <row r="41" spans="1:22" customFormat="1" ht="21.95" customHeight="1">
      <c r="A41" s="1080"/>
      <c r="B41" s="213" t="s">
        <v>472</v>
      </c>
      <c r="C41" s="499">
        <v>2</v>
      </c>
      <c r="D41" s="500"/>
      <c r="E41" s="498">
        <v>16.29</v>
      </c>
      <c r="F41" s="499">
        <v>50</v>
      </c>
      <c r="G41" s="723">
        <f t="shared" si="0"/>
        <v>2425</v>
      </c>
      <c r="H41" s="801">
        <f t="shared" si="1"/>
        <v>2563</v>
      </c>
      <c r="I41" s="742">
        <v>2425</v>
      </c>
      <c r="J41" s="211">
        <v>2563</v>
      </c>
      <c r="K41" s="507">
        <f t="shared" si="6"/>
        <v>1216</v>
      </c>
      <c r="L41" s="508">
        <f t="shared" si="7"/>
        <v>1347</v>
      </c>
      <c r="M41" s="484"/>
      <c r="N41" s="484"/>
      <c r="O41" s="484"/>
      <c r="P41" s="485"/>
      <c r="Q41" s="486"/>
      <c r="R41" s="487"/>
      <c r="S41" s="488"/>
      <c r="U41" s="709"/>
      <c r="V41" s="709"/>
    </row>
    <row r="42" spans="1:22" customFormat="1" ht="21.95" customHeight="1">
      <c r="A42" s="1080"/>
      <c r="B42" s="213" t="s">
        <v>464</v>
      </c>
      <c r="C42" s="499">
        <v>2</v>
      </c>
      <c r="D42" s="500"/>
      <c r="E42" s="498">
        <v>18.91</v>
      </c>
      <c r="F42" s="499">
        <v>50</v>
      </c>
      <c r="G42" s="723">
        <f t="shared" si="0"/>
        <v>2815</v>
      </c>
      <c r="H42" s="801">
        <f t="shared" si="1"/>
        <v>2977</v>
      </c>
      <c r="I42" s="742">
        <v>2815</v>
      </c>
      <c r="J42" s="211">
        <v>2977</v>
      </c>
      <c r="K42" s="507">
        <f t="shared" si="6"/>
        <v>1399</v>
      </c>
      <c r="L42" s="508">
        <f t="shared" si="7"/>
        <v>1550</v>
      </c>
      <c r="M42" s="484"/>
      <c r="N42" s="484"/>
      <c r="O42" s="484"/>
      <c r="P42" s="485"/>
      <c r="Q42" s="486"/>
      <c r="R42" s="487"/>
      <c r="S42" s="488"/>
      <c r="U42" s="709"/>
      <c r="V42" s="709"/>
    </row>
    <row r="43" spans="1:22" customFormat="1" ht="21.95" customHeight="1">
      <c r="A43" s="1080"/>
      <c r="B43" s="213" t="s">
        <v>465</v>
      </c>
      <c r="C43" s="499">
        <v>2</v>
      </c>
      <c r="D43" s="500"/>
      <c r="E43" s="498">
        <v>21.54</v>
      </c>
      <c r="F43" s="499">
        <v>50</v>
      </c>
      <c r="G43" s="731">
        <f t="shared" si="0"/>
        <v>3207</v>
      </c>
      <c r="H43" s="801">
        <f t="shared" si="1"/>
        <v>3391</v>
      </c>
      <c r="I43" s="742">
        <v>3207</v>
      </c>
      <c r="J43" s="211">
        <v>3391</v>
      </c>
      <c r="K43" s="507">
        <f t="shared" si="6"/>
        <v>1572</v>
      </c>
      <c r="L43" s="508">
        <f t="shared" si="7"/>
        <v>1752</v>
      </c>
      <c r="M43" s="484"/>
      <c r="N43" s="484"/>
      <c r="O43" s="484"/>
      <c r="P43" s="485"/>
      <c r="Q43" s="486"/>
      <c r="R43" s="487"/>
      <c r="S43" s="488"/>
      <c r="U43" s="709"/>
      <c r="V43" s="709"/>
    </row>
    <row r="44" spans="1:22" customFormat="1" ht="21.95" customHeight="1">
      <c r="A44" s="1080"/>
      <c r="B44" s="111" t="s">
        <v>473</v>
      </c>
      <c r="C44" s="494">
        <v>3</v>
      </c>
      <c r="D44" s="501"/>
      <c r="E44" s="493">
        <v>24</v>
      </c>
      <c r="F44" s="494">
        <v>50</v>
      </c>
      <c r="G44" s="739">
        <f t="shared" si="0"/>
        <v>3572</v>
      </c>
      <c r="H44" s="801">
        <f t="shared" si="1"/>
        <v>3776</v>
      </c>
      <c r="I44" s="742">
        <v>3572</v>
      </c>
      <c r="J44" s="211">
        <v>3776</v>
      </c>
      <c r="K44" s="507">
        <f t="shared" si="6"/>
        <v>1752</v>
      </c>
      <c r="L44" s="508">
        <f t="shared" si="7"/>
        <v>1935</v>
      </c>
      <c r="M44" s="484"/>
      <c r="N44" s="484"/>
      <c r="O44" s="484"/>
      <c r="P44" s="485"/>
      <c r="Q44" s="486"/>
      <c r="R44" s="487"/>
      <c r="S44" s="488"/>
      <c r="U44" s="709"/>
      <c r="V44" s="709"/>
    </row>
    <row r="45" spans="1:22" customFormat="1" ht="21.95" customHeight="1">
      <c r="A45" s="1080"/>
      <c r="B45" s="111" t="s">
        <v>474</v>
      </c>
      <c r="C45" s="502">
        <v>3</v>
      </c>
      <c r="D45" s="503"/>
      <c r="E45" s="504">
        <v>26.63</v>
      </c>
      <c r="F45" s="502">
        <v>50</v>
      </c>
      <c r="G45" s="739">
        <f t="shared" si="0"/>
        <v>3804</v>
      </c>
      <c r="H45" s="801">
        <f t="shared" si="1"/>
        <v>4030</v>
      </c>
      <c r="I45" s="742">
        <v>3804</v>
      </c>
      <c r="J45" s="211">
        <v>4030</v>
      </c>
      <c r="K45" s="507">
        <f t="shared" si="6"/>
        <v>1871</v>
      </c>
      <c r="L45" s="508">
        <f t="shared" si="7"/>
        <v>2074</v>
      </c>
      <c r="M45" s="484"/>
      <c r="N45" s="484"/>
      <c r="O45" s="484"/>
      <c r="P45" s="485"/>
      <c r="Q45" s="486"/>
      <c r="R45" s="487"/>
      <c r="S45" s="488"/>
      <c r="U45" s="709"/>
      <c r="V45" s="709"/>
    </row>
    <row r="46" spans="1:22" customFormat="1" ht="21.95" customHeight="1">
      <c r="A46" s="1080"/>
      <c r="B46" s="111" t="s">
        <v>466</v>
      </c>
      <c r="C46" s="494">
        <v>3</v>
      </c>
      <c r="D46" s="501"/>
      <c r="E46" s="493">
        <v>29.25</v>
      </c>
      <c r="F46" s="494">
        <v>50</v>
      </c>
      <c r="G46" s="739">
        <f t="shared" si="0"/>
        <v>4177</v>
      </c>
      <c r="H46" s="801">
        <f t="shared" si="1"/>
        <v>4427</v>
      </c>
      <c r="I46" s="742">
        <v>4177</v>
      </c>
      <c r="J46" s="211">
        <v>4427</v>
      </c>
      <c r="K46" s="507">
        <f t="shared" si="6"/>
        <v>2045</v>
      </c>
      <c r="L46" s="508">
        <f t="shared" si="7"/>
        <v>2255</v>
      </c>
      <c r="M46" s="484"/>
      <c r="N46" s="484"/>
      <c r="O46" s="484"/>
      <c r="P46" s="485"/>
      <c r="Q46" s="486"/>
      <c r="R46" s="487"/>
      <c r="S46" s="488"/>
      <c r="U46" s="709"/>
      <c r="V46" s="709"/>
    </row>
    <row r="47" spans="1:22" customFormat="1" ht="21.95" customHeight="1">
      <c r="A47" s="1080"/>
      <c r="B47" s="111" t="s">
        <v>476</v>
      </c>
      <c r="C47" s="499">
        <v>4</v>
      </c>
      <c r="D47" s="500"/>
      <c r="E47" s="498">
        <v>31.71</v>
      </c>
      <c r="F47" s="499">
        <v>50</v>
      </c>
      <c r="G47" s="739">
        <f t="shared" si="0"/>
        <v>4528</v>
      </c>
      <c r="H47" s="801">
        <f t="shared" si="1"/>
        <v>4796</v>
      </c>
      <c r="I47" s="742">
        <v>4528</v>
      </c>
      <c r="J47" s="211">
        <v>4796</v>
      </c>
      <c r="K47" s="507">
        <f t="shared" si="6"/>
        <v>2208</v>
      </c>
      <c r="L47" s="508">
        <f t="shared" si="7"/>
        <v>2441</v>
      </c>
      <c r="M47" s="484"/>
      <c r="N47" s="484"/>
      <c r="O47" s="484"/>
      <c r="P47" s="485"/>
      <c r="Q47" s="486"/>
      <c r="R47" s="487"/>
      <c r="S47" s="488"/>
      <c r="U47" s="709"/>
      <c r="V47" s="709"/>
    </row>
    <row r="48" spans="1:22" customFormat="1" ht="21.95" customHeight="1">
      <c r="A48" s="1080"/>
      <c r="B48" s="111" t="s">
        <v>467</v>
      </c>
      <c r="C48" s="499">
        <v>4</v>
      </c>
      <c r="D48" s="500"/>
      <c r="E48" s="498">
        <v>34.340000000000003</v>
      </c>
      <c r="F48" s="499">
        <v>50</v>
      </c>
      <c r="G48" s="739">
        <f t="shared" si="0"/>
        <v>4905</v>
      </c>
      <c r="H48" s="801">
        <f t="shared" si="1"/>
        <v>5196</v>
      </c>
      <c r="I48" s="742">
        <v>4905</v>
      </c>
      <c r="J48" s="211">
        <v>5196</v>
      </c>
      <c r="K48" s="507">
        <f t="shared" si="6"/>
        <v>2420</v>
      </c>
      <c r="L48" s="508">
        <f t="shared" si="7"/>
        <v>2688</v>
      </c>
      <c r="M48" s="484"/>
      <c r="N48" s="484"/>
      <c r="O48" s="484"/>
      <c r="P48" s="485"/>
      <c r="Q48" s="486"/>
      <c r="R48" s="487"/>
      <c r="S48" s="488"/>
      <c r="U48" s="709"/>
      <c r="V48" s="709"/>
    </row>
    <row r="49" spans="1:22" customFormat="1" ht="21.95" customHeight="1">
      <c r="A49" s="1080"/>
      <c r="B49" s="111" t="s">
        <v>478</v>
      </c>
      <c r="C49" s="499">
        <v>4</v>
      </c>
      <c r="D49" s="500"/>
      <c r="E49" s="498">
        <v>36.96</v>
      </c>
      <c r="F49" s="499">
        <v>50</v>
      </c>
      <c r="G49" s="739">
        <f t="shared" si="0"/>
        <v>5278</v>
      </c>
      <c r="H49" s="801">
        <f t="shared" si="1"/>
        <v>5591</v>
      </c>
      <c r="I49" s="742">
        <v>5278</v>
      </c>
      <c r="J49" s="211">
        <v>5591</v>
      </c>
      <c r="K49" s="507">
        <f>ROUND(((G49+S15+($S$36*P15))/2.5),0)</f>
        <v>2570</v>
      </c>
      <c r="L49" s="508">
        <f>ROUND(((H49+S28+($S$36*P28))/2.5),0)</f>
        <v>2846</v>
      </c>
      <c r="M49" s="484"/>
      <c r="N49" s="484"/>
      <c r="O49" s="484"/>
      <c r="P49" s="485"/>
      <c r="Q49" s="486"/>
      <c r="R49" s="487"/>
      <c r="S49" s="488"/>
      <c r="U49" s="709"/>
      <c r="V49" s="709"/>
    </row>
    <row r="50" spans="1:22" customFormat="1" ht="21.95" customHeight="1">
      <c r="A50" s="1080"/>
      <c r="B50" s="111" t="s">
        <v>468</v>
      </c>
      <c r="C50" s="499">
        <v>4</v>
      </c>
      <c r="D50" s="500"/>
      <c r="E50" s="498">
        <v>37.9</v>
      </c>
      <c r="F50" s="499">
        <v>50</v>
      </c>
      <c r="G50" s="739">
        <f t="shared" si="0"/>
        <v>5414</v>
      </c>
      <c r="H50" s="801">
        <f t="shared" si="1"/>
        <v>5734</v>
      </c>
      <c r="I50" s="742">
        <v>5414</v>
      </c>
      <c r="J50" s="211">
        <v>5734</v>
      </c>
      <c r="K50" s="507">
        <f>ROUND(((G50+S17+($S$36*P17))/2.5),0)</f>
        <v>3014</v>
      </c>
      <c r="L50" s="508">
        <f>ROUND(((H50+S34+($S$36*P34))/2.5),0)</f>
        <v>3436</v>
      </c>
      <c r="M50" s="484"/>
      <c r="N50" s="484"/>
      <c r="O50" s="484"/>
      <c r="P50" s="485"/>
      <c r="Q50" s="486"/>
      <c r="R50" s="487"/>
      <c r="S50" s="488"/>
      <c r="U50" s="709"/>
      <c r="V50" s="709"/>
    </row>
    <row r="51" spans="1:22" customFormat="1" ht="21.95" customHeight="1">
      <c r="A51" s="1080"/>
      <c r="B51" s="111" t="s">
        <v>469</v>
      </c>
      <c r="C51" s="499">
        <v>4</v>
      </c>
      <c r="D51" s="500"/>
      <c r="E51" s="498">
        <v>40.42</v>
      </c>
      <c r="F51" s="499">
        <v>50</v>
      </c>
      <c r="G51" s="739">
        <f t="shared" si="0"/>
        <v>5772</v>
      </c>
      <c r="H51" s="801">
        <f t="shared" si="1"/>
        <v>6115</v>
      </c>
      <c r="I51" s="742">
        <v>5772</v>
      </c>
      <c r="J51" s="211">
        <v>6115</v>
      </c>
      <c r="K51" s="507">
        <f>ROUND(((G51+S17+($S$36*P17))/2.5),0)</f>
        <v>3158</v>
      </c>
      <c r="L51" s="508">
        <f>ROUND(((H51+S34+($S$36*P34))/2.5),0)</f>
        <v>3589</v>
      </c>
      <c r="M51" s="484"/>
      <c r="N51" s="484"/>
      <c r="O51" s="484"/>
      <c r="P51" s="485"/>
      <c r="Q51" s="486"/>
      <c r="R51" s="487"/>
      <c r="S51" s="488"/>
      <c r="U51" s="709"/>
      <c r="V51" s="709"/>
    </row>
    <row r="52" spans="1:22" customFormat="1" ht="21.95" customHeight="1">
      <c r="A52" s="1080"/>
      <c r="B52" s="111" t="s">
        <v>470</v>
      </c>
      <c r="C52" s="494">
        <v>4</v>
      </c>
      <c r="D52" s="501"/>
      <c r="E52" s="493">
        <v>42.93</v>
      </c>
      <c r="F52" s="494">
        <v>50</v>
      </c>
      <c r="G52" s="739">
        <f t="shared" si="0"/>
        <v>6391</v>
      </c>
      <c r="H52" s="801">
        <f t="shared" si="1"/>
        <v>6754</v>
      </c>
      <c r="I52" s="742">
        <v>6391</v>
      </c>
      <c r="J52" s="211">
        <v>6754</v>
      </c>
      <c r="K52" s="507">
        <f>ROUND(((G52+S17+($S$36*P17))/2.5),0)</f>
        <v>3405</v>
      </c>
      <c r="L52" s="508">
        <f>ROUND(((H52+S34+($S$36*P34))/2.5),0)</f>
        <v>3844</v>
      </c>
      <c r="M52" s="484"/>
      <c r="N52" s="484"/>
      <c r="O52" s="484"/>
      <c r="P52" s="485"/>
      <c r="Q52" s="486"/>
      <c r="R52" s="487"/>
      <c r="S52" s="488"/>
      <c r="U52" s="709"/>
      <c r="V52" s="709"/>
    </row>
    <row r="53" spans="1:22" customFormat="1" ht="21.95" customHeight="1" thickBot="1">
      <c r="A53" s="1081"/>
      <c r="B53" s="902" t="s">
        <v>471</v>
      </c>
      <c r="C53" s="903">
        <v>5</v>
      </c>
      <c r="D53" s="904"/>
      <c r="E53" s="905">
        <v>47.8</v>
      </c>
      <c r="F53" s="903">
        <v>50</v>
      </c>
      <c r="G53" s="906">
        <f t="shared" si="0"/>
        <v>7033</v>
      </c>
      <c r="H53" s="900">
        <f t="shared" si="1"/>
        <v>7519</v>
      </c>
      <c r="I53" s="793">
        <v>7033</v>
      </c>
      <c r="J53" s="472">
        <v>7519</v>
      </c>
      <c r="K53" s="509">
        <f>ROUND(((G53+S18+($S$36*P18))/2.5),0)</f>
        <v>3885</v>
      </c>
      <c r="L53" s="510">
        <f>ROUND(((H53+S35+($S$36*P35))/2.5),0)</f>
        <v>4447</v>
      </c>
      <c r="M53" s="484"/>
      <c r="N53" s="484"/>
      <c r="O53" s="484"/>
      <c r="P53" s="485"/>
      <c r="Q53" s="486"/>
      <c r="R53" s="487"/>
      <c r="S53" s="488"/>
      <c r="U53" s="709"/>
      <c r="V53" s="709"/>
    </row>
    <row r="54" spans="1:22" customFormat="1" ht="43.5" customHeight="1">
      <c r="A54" s="1062" t="s">
        <v>501</v>
      </c>
      <c r="B54" s="1062"/>
      <c r="C54" s="1062"/>
      <c r="D54" s="1062"/>
      <c r="E54" s="1062"/>
      <c r="F54" s="1062"/>
      <c r="G54" s="1062"/>
      <c r="H54" s="1062"/>
      <c r="I54" s="1062"/>
      <c r="J54" s="1062"/>
      <c r="K54" s="1062"/>
      <c r="L54" s="1062"/>
      <c r="M54" s="484"/>
      <c r="N54" s="484"/>
      <c r="O54" s="484"/>
      <c r="P54" s="485"/>
      <c r="Q54" s="486"/>
      <c r="R54" s="487"/>
      <c r="S54" s="488"/>
    </row>
    <row r="55" spans="1:22" customFormat="1" ht="21.95" customHeight="1">
      <c r="A55" s="474" t="s">
        <v>481</v>
      </c>
      <c r="B55" s="11"/>
      <c r="C55" s="11"/>
      <c r="D55" s="11"/>
      <c r="E55" s="11"/>
      <c r="F55" s="1"/>
      <c r="G55" s="475"/>
      <c r="H55" s="475"/>
      <c r="I55" s="475"/>
      <c r="J55" s="475"/>
      <c r="K55" s="475"/>
      <c r="L55" s="475"/>
      <c r="M55" s="484"/>
      <c r="N55" s="484"/>
      <c r="O55" s="484"/>
      <c r="P55" s="485"/>
      <c r="Q55" s="486"/>
      <c r="R55" s="487"/>
      <c r="S55" s="488"/>
    </row>
    <row r="56" spans="1:22" customFormat="1" ht="21.95" customHeight="1">
      <c r="A56" s="473" t="s">
        <v>480</v>
      </c>
      <c r="B56" s="79"/>
      <c r="C56" s="79"/>
      <c r="D56" s="79"/>
      <c r="E56" s="79"/>
      <c r="F56" s="475"/>
      <c r="G56" s="475"/>
      <c r="H56" s="475"/>
      <c r="I56" s="475"/>
      <c r="J56" s="475"/>
      <c r="K56" s="475"/>
      <c r="L56" s="475"/>
      <c r="M56" s="484"/>
      <c r="N56" s="484"/>
      <c r="O56" s="484"/>
      <c r="P56" s="485"/>
      <c r="Q56" s="486"/>
      <c r="R56" s="487"/>
      <c r="S56" s="488"/>
    </row>
    <row r="57" spans="1:22" customFormat="1" ht="21.95" customHeight="1">
      <c r="A57" s="381" t="s">
        <v>516</v>
      </c>
      <c r="B57" s="79"/>
      <c r="C57" s="79"/>
      <c r="D57" s="79"/>
      <c r="E57" s="79"/>
      <c r="F57" s="475"/>
      <c r="G57" s="475"/>
      <c r="H57" s="475"/>
      <c r="I57" s="475"/>
      <c r="J57" s="475"/>
      <c r="K57" s="475"/>
      <c r="L57" s="475"/>
      <c r="M57" s="1063"/>
      <c r="N57" s="1063"/>
      <c r="O57" s="1063"/>
      <c r="P57" s="1064"/>
      <c r="Q57" s="1065"/>
      <c r="R57" s="1065"/>
      <c r="S57" s="1066"/>
    </row>
    <row r="58" spans="1:22" customFormat="1" ht="21.95" customHeight="1">
      <c r="A58" s="381" t="s">
        <v>517</v>
      </c>
      <c r="B58" s="79"/>
      <c r="C58" s="79"/>
      <c r="D58" s="79"/>
      <c r="E58" s="79"/>
      <c r="F58" s="1"/>
      <c r="G58" s="475"/>
      <c r="H58" s="475"/>
      <c r="I58" s="475"/>
      <c r="J58" s="475"/>
      <c r="K58" s="475"/>
      <c r="L58" s="475"/>
      <c r="M58" s="1063"/>
      <c r="N58" s="1063"/>
      <c r="O58" s="1063"/>
      <c r="P58" s="1064"/>
      <c r="Q58" s="1065"/>
      <c r="R58" s="1065"/>
      <c r="S58" s="1066"/>
    </row>
    <row r="59" spans="1:22" customFormat="1" ht="21.95" customHeight="1">
      <c r="A59" s="476" t="s">
        <v>518</v>
      </c>
      <c r="B59" s="79"/>
      <c r="C59" s="79"/>
      <c r="D59" s="79"/>
      <c r="E59" s="79"/>
      <c r="F59" s="475"/>
      <c r="G59" s="475"/>
      <c r="H59" s="475"/>
      <c r="I59" s="475"/>
      <c r="J59" s="475"/>
      <c r="K59" s="475"/>
      <c r="L59" s="475"/>
    </row>
    <row r="60" spans="1:22" customFormat="1" ht="112.5" customHeight="1">
      <c r="A60" s="1048" t="s">
        <v>483</v>
      </c>
      <c r="B60" s="1048"/>
      <c r="C60" s="1048"/>
      <c r="D60" s="2"/>
      <c r="E60" s="1048" t="s">
        <v>482</v>
      </c>
      <c r="F60" s="1048"/>
      <c r="G60" s="1048"/>
      <c r="H60" s="1048"/>
      <c r="I60" s="1048"/>
      <c r="J60" s="1048"/>
      <c r="K60" s="1048"/>
      <c r="L60" s="1048"/>
    </row>
    <row r="61" spans="1:22" customFormat="1" ht="46.5" customHeight="1">
      <c r="A61" s="218" t="s">
        <v>234</v>
      </c>
      <c r="B61" s="79"/>
      <c r="C61" s="79"/>
      <c r="D61" s="79"/>
      <c r="E61" s="79"/>
      <c r="F61" s="475"/>
      <c r="G61" s="475"/>
      <c r="H61" s="475"/>
      <c r="I61" s="475"/>
      <c r="J61" s="475"/>
      <c r="K61" s="475"/>
      <c r="L61" s="475"/>
    </row>
    <row r="62" spans="1:22" customFormat="1" ht="21.95" customHeight="1">
      <c r="A62" s="215" t="s">
        <v>280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1"/>
    </row>
    <row r="63" spans="1:22" customFormat="1" ht="21.95" customHeight="1">
      <c r="A63" s="215" t="s">
        <v>185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"/>
    </row>
    <row r="64" spans="1:22" customFormat="1" ht="21.95" customHeight="1">
      <c r="A64" s="215" t="s">
        <v>24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"/>
    </row>
    <row r="65" spans="1:13" customFormat="1" ht="21.95" customHeight="1">
      <c r="A65" s="216" t="s">
        <v>25</v>
      </c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1"/>
    </row>
    <row r="66" spans="1:13" customFormat="1" ht="21.95" customHeight="1">
      <c r="A66" s="215" t="s">
        <v>2</v>
      </c>
      <c r="B66" s="215"/>
      <c r="C66" s="215"/>
      <c r="D66" s="215"/>
      <c r="E66" s="215"/>
      <c r="F66" s="215"/>
      <c r="G66" s="215"/>
      <c r="H66" s="215"/>
      <c r="I66" s="215"/>
      <c r="J66" s="215"/>
      <c r="K66" s="11"/>
      <c r="L66" s="1"/>
    </row>
    <row r="67" spans="1:13" customFormat="1" ht="21.95" customHeight="1">
      <c r="A67" s="215" t="s">
        <v>3</v>
      </c>
      <c r="B67" s="215"/>
      <c r="C67" s="215"/>
      <c r="D67" s="215"/>
      <c r="E67" s="215"/>
      <c r="F67" s="215"/>
      <c r="G67" s="215"/>
      <c r="H67" s="215"/>
      <c r="I67" s="215"/>
      <c r="J67" s="215"/>
      <c r="K67" s="11"/>
      <c r="L67" s="1"/>
    </row>
    <row r="68" spans="1:13" customFormat="1" ht="21.95" customHeight="1">
      <c r="A68" s="219" t="s">
        <v>26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3" customFormat="1" ht="40.5" customHeight="1">
      <c r="A69" s="218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"/>
    </row>
    <row r="70" spans="1:13" customFormat="1" ht="21.95" customHeight="1">
      <c r="A70" s="1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1"/>
    </row>
    <row r="71" spans="1:13" customFormat="1" ht="6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"/>
    </row>
    <row r="72" spans="1:13" customFormat="1" ht="40.5" hidden="1" customHeight="1">
      <c r="A72" s="172" t="s">
        <v>50</v>
      </c>
      <c r="B72" s="1003">
        <v>0</v>
      </c>
      <c r="C72" s="1004"/>
      <c r="D72" s="1004"/>
      <c r="E72" s="1005"/>
      <c r="F72" s="11"/>
      <c r="G72" s="11"/>
      <c r="H72" s="11"/>
      <c r="I72" s="11"/>
      <c r="J72" s="11"/>
      <c r="K72" s="11"/>
      <c r="L72" s="1"/>
    </row>
    <row r="73" spans="1:13" customFormat="1" ht="21.9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1"/>
    </row>
    <row r="74" spans="1:13" customFormat="1" ht="21.9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1"/>
    </row>
    <row r="75" spans="1:13" customFormat="1" ht="21.9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1"/>
      <c r="M75" s="122"/>
    </row>
    <row r="76" spans="1:13" customFormat="1" ht="21.9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1"/>
    </row>
    <row r="77" spans="1:13" customFormat="1" ht="21.9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1"/>
    </row>
    <row r="78" spans="1:13" customFormat="1" ht="21.95" customHeight="1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1"/>
    </row>
    <row r="79" spans="1:13" customFormat="1" ht="21.95" customHeight="1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1"/>
    </row>
    <row r="80" spans="1:13" customFormat="1" ht="21.95" customHeight="1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1"/>
    </row>
    <row r="81" spans="1:19" customFormat="1" ht="21.95" customHeight="1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1"/>
    </row>
    <row r="82" spans="1:19" customFormat="1" ht="21.95" customHeight="1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9" customFormat="1" ht="21.95" customHeight="1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9" customFormat="1" ht="21.95" customHeight="1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9" customFormat="1" ht="21.95" customHeight="1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9" customFormat="1" ht="24" customHeight="1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9" customFormat="1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9" customFormat="1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customForma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customForma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customForma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customFormat="1" ht="28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9" ht="32.25" customHeight="1"/>
    <row r="100" ht="108.75" customHeight="1"/>
    <row r="107" ht="106.5" customHeight="1"/>
  </sheetData>
  <sheetProtection formatCells="0" formatColumns="0" formatRows="0" insertColumns="0" insertRows="0" insertHyperlinks="0" deleteColumns="0" deleteRows="0" sort="0" autoFilter="0" pivotTables="0"/>
  <mergeCells count="42">
    <mergeCell ref="S36:S38"/>
    <mergeCell ref="A39:A53"/>
    <mergeCell ref="M6:M18"/>
    <mergeCell ref="N6:N16"/>
    <mergeCell ref="R6:R16"/>
    <mergeCell ref="M36:O38"/>
    <mergeCell ref="P36:P38"/>
    <mergeCell ref="Q36:Q38"/>
    <mergeCell ref="R36:R38"/>
    <mergeCell ref="A24:A38"/>
    <mergeCell ref="A5:A6"/>
    <mergeCell ref="B5:B6"/>
    <mergeCell ref="C5:C6"/>
    <mergeCell ref="E5:E6"/>
    <mergeCell ref="F5:F6"/>
    <mergeCell ref="D4:G4"/>
    <mergeCell ref="M5:N5"/>
    <mergeCell ref="N17:N18"/>
    <mergeCell ref="R17:R18"/>
    <mergeCell ref="M19:M35"/>
    <mergeCell ref="N19:N29"/>
    <mergeCell ref="R19:R29"/>
    <mergeCell ref="N30:N31"/>
    <mergeCell ref="R30:R31"/>
    <mergeCell ref="N32:N33"/>
    <mergeCell ref="R32:R33"/>
    <mergeCell ref="N34:N35"/>
    <mergeCell ref="R34:R35"/>
    <mergeCell ref="M57:O58"/>
    <mergeCell ref="P57:P58"/>
    <mergeCell ref="Q57:Q58"/>
    <mergeCell ref="R57:R58"/>
    <mergeCell ref="S57:S58"/>
    <mergeCell ref="E60:L60"/>
    <mergeCell ref="A60:C60"/>
    <mergeCell ref="B72:E72"/>
    <mergeCell ref="G5:H5"/>
    <mergeCell ref="K5:L5"/>
    <mergeCell ref="I5:J6"/>
    <mergeCell ref="D5:D6"/>
    <mergeCell ref="A7:A23"/>
    <mergeCell ref="A54:L54"/>
  </mergeCells>
  <conditionalFormatting sqref="G1:H2 A56:A59 G69:H1048576 G62:H67 G5:H38 H4">
    <cfRule type="cellIs" dxfId="6" priority="3" operator="equal">
      <formula>0</formula>
    </cfRule>
  </conditionalFormatting>
  <conditionalFormatting sqref="A55">
    <cfRule type="cellIs" dxfId="5" priority="2" operator="equal">
      <formula>0</formula>
    </cfRule>
  </conditionalFormatting>
  <conditionalFormatting sqref="H39:H53">
    <cfRule type="cellIs" dxfId="4" priority="1" operator="equal">
      <formula>0</formula>
    </cfRule>
  </conditionalFormatting>
  <printOptions horizontalCentered="1"/>
  <pageMargins left="0" right="0" top="0" bottom="0" header="0" footer="0"/>
  <pageSetup paperSize="9" scale="44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C00000"/>
    <pageSetUpPr fitToPage="1"/>
  </sheetPr>
  <dimension ref="A1:T90"/>
  <sheetViews>
    <sheetView showGridLines="0" topLeftCell="A29" zoomScale="70" zoomScaleNormal="70" zoomScaleSheetLayoutView="55" zoomScalePageLayoutView="40" workbookViewId="0">
      <selection activeCell="G54" sqref="G54"/>
    </sheetView>
  </sheetViews>
  <sheetFormatPr defaultRowHeight="12.75"/>
  <cols>
    <col min="1" max="1" width="52.7109375" style="1" customWidth="1"/>
    <col min="2" max="2" width="20.7109375" style="1" customWidth="1"/>
    <col min="3" max="3" width="15.28515625" style="1" customWidth="1"/>
    <col min="4" max="4" width="17.42578125" style="1" customWidth="1"/>
    <col min="5" max="5" width="14.28515625" style="1" customWidth="1"/>
    <col min="6" max="6" width="17.42578125" style="1" customWidth="1"/>
    <col min="7" max="8" width="18.7109375" style="1" customWidth="1"/>
    <col min="9" max="10" width="28.5703125" style="1" hidden="1" customWidth="1"/>
    <col min="11" max="12" width="29.7109375" style="1" customWidth="1"/>
    <col min="13" max="13" width="27.140625" style="1" hidden="1" customWidth="1"/>
    <col min="14" max="18" width="19.5703125" style="1" hidden="1" customWidth="1"/>
    <col min="19" max="19" width="45.42578125" style="1" hidden="1" customWidth="1"/>
    <col min="20" max="20" width="18.7109375" style="1" customWidth="1"/>
    <col min="21" max="16384" width="9.140625" style="1"/>
  </cols>
  <sheetData>
    <row r="1" spans="1:20" ht="75.75" customHeight="1"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20" customFormat="1" ht="33" customHeight="1">
      <c r="A2" s="51"/>
      <c r="B2" s="51"/>
      <c r="C2" s="1"/>
      <c r="D2" s="1105" t="s">
        <v>484</v>
      </c>
      <c r="E2" s="1105"/>
      <c r="F2" s="1105"/>
      <c r="G2" s="1105"/>
      <c r="H2" s="304"/>
      <c r="I2" s="115"/>
      <c r="J2" s="115"/>
      <c r="K2" s="217"/>
      <c r="L2" s="711"/>
    </row>
    <row r="3" spans="1:20" customFormat="1" ht="110.1" customHeight="1">
      <c r="A3" s="1096" t="s">
        <v>189</v>
      </c>
      <c r="B3" s="1098" t="s">
        <v>479</v>
      </c>
      <c r="C3" s="1098" t="s">
        <v>211</v>
      </c>
      <c r="D3" s="1057" t="s">
        <v>458</v>
      </c>
      <c r="E3" s="1099" t="s">
        <v>124</v>
      </c>
      <c r="F3" s="1099" t="s">
        <v>213</v>
      </c>
      <c r="G3" s="1049" t="s">
        <v>180</v>
      </c>
      <c r="H3" s="1050"/>
      <c r="I3" s="1053" t="s">
        <v>66</v>
      </c>
      <c r="J3" s="1054"/>
      <c r="K3" s="1051" t="s">
        <v>455</v>
      </c>
      <c r="L3" s="1052"/>
      <c r="M3" s="1068" t="s">
        <v>189</v>
      </c>
      <c r="N3" s="1068"/>
      <c r="O3" s="470" t="s">
        <v>214</v>
      </c>
      <c r="P3" s="470" t="s">
        <v>212</v>
      </c>
      <c r="Q3" s="470" t="s">
        <v>82</v>
      </c>
      <c r="R3" s="40" t="s">
        <v>213</v>
      </c>
      <c r="S3" s="41" t="s">
        <v>127</v>
      </c>
    </row>
    <row r="4" spans="1:20" customFormat="1" ht="27" customHeight="1" thickBot="1">
      <c r="A4" s="1097"/>
      <c r="B4" s="1099"/>
      <c r="C4" s="1099"/>
      <c r="D4" s="1058"/>
      <c r="E4" s="1100"/>
      <c r="F4" s="1100"/>
      <c r="G4" s="720" t="s">
        <v>456</v>
      </c>
      <c r="H4" s="789" t="s">
        <v>457</v>
      </c>
      <c r="I4" s="1055"/>
      <c r="J4" s="1056"/>
      <c r="K4" s="564" t="s">
        <v>456</v>
      </c>
      <c r="L4" s="564" t="s">
        <v>457</v>
      </c>
      <c r="M4" s="1069" t="s">
        <v>232</v>
      </c>
      <c r="N4" s="1069" t="s">
        <v>85</v>
      </c>
      <c r="O4" s="114">
        <f>'Эл-ты панельных ограждений - 1'!D5</f>
        <v>1.1000000000000001</v>
      </c>
      <c r="P4" s="195">
        <f>'Эл-ты панельных ограждений - 1'!F5</f>
        <v>2</v>
      </c>
      <c r="Q4" s="15">
        <f>'Эл-ты панельных ограждений - 1'!G5</f>
        <v>2.9810000000000003</v>
      </c>
      <c r="R4" s="1073">
        <f>'Эл-ты панельных ограждений - 1'!H4</f>
        <v>96</v>
      </c>
      <c r="S4" s="169">
        <f>'Эл-ты панельных ограждений - 1'!I5</f>
        <v>403</v>
      </c>
    </row>
    <row r="5" spans="1:20" customFormat="1" ht="21.95" customHeight="1">
      <c r="A5" s="1101" t="s">
        <v>677</v>
      </c>
      <c r="B5" s="869" t="s">
        <v>472</v>
      </c>
      <c r="C5" s="776" t="s">
        <v>100</v>
      </c>
      <c r="D5" s="776">
        <v>1.2</v>
      </c>
      <c r="E5" s="777">
        <v>13.56</v>
      </c>
      <c r="F5" s="778">
        <v>40</v>
      </c>
      <c r="G5" s="870">
        <f t="shared" ref="G5:G30" si="0">IF(I5&gt;0,ROUND(I5*(1-$B$49),2),"-")</f>
        <v>2217</v>
      </c>
      <c r="H5" s="871">
        <f t="shared" ref="H5:H30" si="1">IF(J5&gt;0,ROUND(J5*(1-$B$49),2),"-")</f>
        <v>2299</v>
      </c>
      <c r="I5" s="740">
        <v>2217</v>
      </c>
      <c r="J5" s="212">
        <v>2299</v>
      </c>
      <c r="K5" s="505">
        <f>IF(I5&gt;0,ROUND(((G5+$S6+($S$33*$P6))/2.5),0),"-")</f>
        <v>1133</v>
      </c>
      <c r="L5" s="506">
        <f>IF(J5&gt;0,ROUND(((H5+$S19+($S$33*$P19))/2.5),0),"-")</f>
        <v>1242</v>
      </c>
      <c r="M5" s="1072"/>
      <c r="N5" s="1072"/>
      <c r="O5" s="111">
        <f>'Эл-ты панельных ограждений - 1'!D6</f>
        <v>1.3</v>
      </c>
      <c r="P5" s="13">
        <f>'Эл-ты панельных ограждений - 1'!F6</f>
        <v>2</v>
      </c>
      <c r="Q5" s="16">
        <f>'Эл-ты панельных ограждений - 1'!G6</f>
        <v>3.5230000000000001</v>
      </c>
      <c r="R5" s="1074"/>
      <c r="S5" s="170">
        <f>'Эл-ты панельных ограждений - 1'!I6</f>
        <v>476</v>
      </c>
      <c r="T5" s="177"/>
    </row>
    <row r="6" spans="1:20" customFormat="1" ht="21.95" customHeight="1">
      <c r="A6" s="1102"/>
      <c r="B6" s="153" t="s">
        <v>464</v>
      </c>
      <c r="C6" s="497" t="s">
        <v>100</v>
      </c>
      <c r="D6" s="491"/>
      <c r="E6" s="498">
        <v>16.010000000000002</v>
      </c>
      <c r="F6" s="499">
        <v>40</v>
      </c>
      <c r="G6" s="892">
        <f t="shared" si="0"/>
        <v>2616</v>
      </c>
      <c r="H6" s="888">
        <f t="shared" si="1"/>
        <v>2713</v>
      </c>
      <c r="I6" s="742">
        <v>2616</v>
      </c>
      <c r="J6" s="211">
        <v>2713</v>
      </c>
      <c r="K6" s="507">
        <f>IF(I6&gt;0,ROUND(((G6+$S7+($S$33*$P7))/2.5),0),"-")</f>
        <v>1320</v>
      </c>
      <c r="L6" s="508">
        <f>IF(J6&gt;0,ROUND(((H6+$S20+($S$33*$P20))/2.5),0),"-")</f>
        <v>1444</v>
      </c>
      <c r="M6" s="1072"/>
      <c r="N6" s="1072"/>
      <c r="O6" s="111">
        <f>'Эл-ты панельных ограждений - 1'!D8</f>
        <v>1.5</v>
      </c>
      <c r="P6" s="13">
        <f>'Эл-ты панельных ограждений - 1'!F8</f>
        <v>2</v>
      </c>
      <c r="Q6" s="16">
        <f>'Эл-ты панельных ограждений - 1'!G8</f>
        <v>4.0649999999999995</v>
      </c>
      <c r="R6" s="1074"/>
      <c r="S6" s="170">
        <f>'Эл-ты панельных ограждений - 1'!I8</f>
        <v>507</v>
      </c>
    </row>
    <row r="7" spans="1:20" customFormat="1" ht="21.95" customHeight="1">
      <c r="A7" s="1102"/>
      <c r="B7" s="111" t="s">
        <v>465</v>
      </c>
      <c r="C7" s="490" t="s">
        <v>100</v>
      </c>
      <c r="D7" s="492"/>
      <c r="E7" s="493">
        <v>18.46</v>
      </c>
      <c r="F7" s="494">
        <v>40</v>
      </c>
      <c r="G7" s="893">
        <f t="shared" si="0"/>
        <v>2682</v>
      </c>
      <c r="H7" s="889">
        <f t="shared" si="1"/>
        <v>2793</v>
      </c>
      <c r="I7" s="742">
        <v>2682</v>
      </c>
      <c r="J7" s="211">
        <v>2793</v>
      </c>
      <c r="K7" s="507">
        <f>IF(I7&gt;0,ROUND(((G7+$S8+($S$33*$P8))/2.5),0),"-")</f>
        <v>1362</v>
      </c>
      <c r="L7" s="508">
        <f>IF(J7&gt;0,ROUND(((H7+$S21+($S$33*$P21))/2.5),0),"-")</f>
        <v>1513</v>
      </c>
      <c r="M7" s="1072"/>
      <c r="N7" s="1072"/>
      <c r="O7" s="111">
        <f>'Эл-ты панельных ограждений - 1'!D9</f>
        <v>1.7</v>
      </c>
      <c r="P7" s="13">
        <f>'Эл-ты панельных ограждений - 1'!F9</f>
        <v>2</v>
      </c>
      <c r="Q7" s="16">
        <f>'Эл-ты панельных ограждений - 1'!G9</f>
        <v>4.6070000000000002</v>
      </c>
      <c r="R7" s="1074"/>
      <c r="S7" s="170">
        <f>'Эл-ты панельных ограждений - 1'!I9</f>
        <v>575</v>
      </c>
    </row>
    <row r="8" spans="1:20" customFormat="1" ht="21.95" customHeight="1">
      <c r="A8" s="1102"/>
      <c r="B8" s="111" t="s">
        <v>486</v>
      </c>
      <c r="C8" s="490" t="s">
        <v>100</v>
      </c>
      <c r="D8" s="492"/>
      <c r="E8" s="493">
        <v>20.9</v>
      </c>
      <c r="F8" s="494">
        <v>40</v>
      </c>
      <c r="G8" s="893">
        <f t="shared" si="0"/>
        <v>3035</v>
      </c>
      <c r="H8" s="889">
        <f t="shared" si="1"/>
        <v>3163</v>
      </c>
      <c r="I8" s="742">
        <v>3035</v>
      </c>
      <c r="J8" s="211">
        <v>3163</v>
      </c>
      <c r="K8" s="507">
        <f>IF(I8&gt;0,ROUND(((G8+$S9+($S$33*$P9))/2.5),0),"-")</f>
        <v>1538</v>
      </c>
      <c r="L8" s="508">
        <f>IF(J8&gt;0,ROUND(((H8+$S22+($S$33*$P22))/2.5),0),"-")</f>
        <v>1690</v>
      </c>
      <c r="M8" s="1072"/>
      <c r="N8" s="1072"/>
      <c r="O8" s="111">
        <f>'Эл-ты панельных ограждений - 1'!D10</f>
        <v>1.9</v>
      </c>
      <c r="P8" s="13">
        <f>'Эл-ты панельных ограждений - 1'!F10</f>
        <v>2</v>
      </c>
      <c r="Q8" s="16">
        <f>'Эл-ты панельных ограждений - 1'!G10</f>
        <v>5.149</v>
      </c>
      <c r="R8" s="1074"/>
      <c r="S8" s="170">
        <f>'Эл-ты панельных ограждений - 1'!I10</f>
        <v>615</v>
      </c>
    </row>
    <row r="9" spans="1:20" customFormat="1" ht="21.95" customHeight="1">
      <c r="A9" s="1102"/>
      <c r="B9" s="284" t="s">
        <v>487</v>
      </c>
      <c r="C9" s="728" t="s">
        <v>100</v>
      </c>
      <c r="D9" s="729"/>
      <c r="E9" s="504">
        <v>23.35</v>
      </c>
      <c r="F9" s="502">
        <v>40</v>
      </c>
      <c r="G9" s="894">
        <f t="shared" si="0"/>
        <v>3391</v>
      </c>
      <c r="H9" s="887">
        <f t="shared" si="1"/>
        <v>3534</v>
      </c>
      <c r="I9" s="742">
        <v>3391</v>
      </c>
      <c r="J9" s="211">
        <v>3534</v>
      </c>
      <c r="K9" s="507">
        <f>IF(I9&gt;0,ROUND(((G9+$S10+($S$33*$P10))/2.5),0),"-")</f>
        <v>1706</v>
      </c>
      <c r="L9" s="508">
        <f>IF(J9&gt;0,ROUND(((H9+$S23+($S$33*$P23))/2.5),0),"-")</f>
        <v>1875</v>
      </c>
      <c r="M9" s="1072"/>
      <c r="N9" s="1072"/>
      <c r="O9" s="322">
        <f>'Эл-ты панельных ограждений - 1'!D12</f>
        <v>2</v>
      </c>
      <c r="P9" s="13">
        <f>'Эл-ты панельных ограждений - 1'!F12</f>
        <v>3</v>
      </c>
      <c r="Q9" s="16">
        <f>'Эл-ты панельных ограждений - 1'!G12</f>
        <v>5.42</v>
      </c>
      <c r="R9" s="1074"/>
      <c r="S9" s="170">
        <f>'Эл-ты панельных ограждений - 1'!I12</f>
        <v>647</v>
      </c>
    </row>
    <row r="10" spans="1:20" customFormat="1" ht="21.95" customHeight="1">
      <c r="A10" s="1102"/>
      <c r="B10" s="738" t="s">
        <v>476</v>
      </c>
      <c r="C10" s="743" t="s">
        <v>100</v>
      </c>
      <c r="D10" s="743">
        <v>1.2</v>
      </c>
      <c r="E10" s="744">
        <v>25.8</v>
      </c>
      <c r="F10" s="745">
        <v>40</v>
      </c>
      <c r="G10" s="746">
        <f t="shared" si="0"/>
        <v>3747</v>
      </c>
      <c r="H10" s="804">
        <f t="shared" si="1"/>
        <v>3904</v>
      </c>
      <c r="I10" s="742">
        <v>3747</v>
      </c>
      <c r="J10" s="211">
        <v>3904</v>
      </c>
      <c r="K10" s="507">
        <f>IF(I10&gt;0,ROUND(((G10+$S12+($S$33*$P12))/2.5),0),"-")</f>
        <v>1896</v>
      </c>
      <c r="L10" s="508">
        <f>IF(J10&gt;0,ROUND(((H10+$S25+($S$33*$P25))/2.5),0),"-")</f>
        <v>2084</v>
      </c>
      <c r="M10" s="1072"/>
      <c r="N10" s="1072"/>
      <c r="O10" s="111">
        <f>'Эл-ты панельных ограждений - 1'!D13</f>
        <v>2.2000000000000002</v>
      </c>
      <c r="P10" s="13">
        <f>'Эл-ты панельных ограждений - 1'!F13</f>
        <v>3</v>
      </c>
      <c r="Q10" s="16">
        <f>'Эл-ты панельных ограждений - 1'!G13</f>
        <v>5.9620000000000006</v>
      </c>
      <c r="R10" s="1074"/>
      <c r="S10" s="170">
        <f>'Эл-ты панельных ограждений - 1'!I13</f>
        <v>712</v>
      </c>
    </row>
    <row r="11" spans="1:20" customFormat="1" ht="21.95" customHeight="1">
      <c r="A11" s="1102"/>
      <c r="B11" s="131" t="s">
        <v>467</v>
      </c>
      <c r="C11" s="732" t="s">
        <v>100</v>
      </c>
      <c r="D11" s="733"/>
      <c r="E11" s="734">
        <v>28.25</v>
      </c>
      <c r="F11" s="735">
        <v>40</v>
      </c>
      <c r="G11" s="896">
        <f t="shared" si="0"/>
        <v>4102</v>
      </c>
      <c r="H11" s="891">
        <f t="shared" si="1"/>
        <v>4274</v>
      </c>
      <c r="I11" s="742">
        <v>4102</v>
      </c>
      <c r="J11" s="211">
        <v>4274</v>
      </c>
      <c r="K11" s="507">
        <f>IF(I11&gt;0,ROUND(((G11+$S13+($S$33*$P13))/2.5),0),"-")</f>
        <v>2099</v>
      </c>
      <c r="L11" s="508">
        <f>IF(J11&gt;0,ROUND(((H11+$S26+($S$33*$P26))/2.5),0),"-")</f>
        <v>2320</v>
      </c>
      <c r="M11" s="1072"/>
      <c r="N11" s="1072"/>
      <c r="O11" s="111">
        <f>'Эл-ты панельных ограждений - 1'!D14</f>
        <v>2.4</v>
      </c>
      <c r="P11" s="13">
        <f>'Эл-ты панельных ограждений - 1'!F14</f>
        <v>3</v>
      </c>
      <c r="Q11" s="16">
        <f>'Эл-ты панельных ограждений - 1'!G14</f>
        <v>6.5039999999999996</v>
      </c>
      <c r="R11" s="1074"/>
      <c r="S11" s="170">
        <f>'Эл-ты панельных ограждений - 1'!I14</f>
        <v>773</v>
      </c>
    </row>
    <row r="12" spans="1:20" customFormat="1" ht="21.95" customHeight="1">
      <c r="A12" s="1102"/>
      <c r="B12" s="738" t="s">
        <v>478</v>
      </c>
      <c r="C12" s="743" t="s">
        <v>100</v>
      </c>
      <c r="D12" s="743">
        <v>1.2</v>
      </c>
      <c r="E12" s="744">
        <v>30.69</v>
      </c>
      <c r="F12" s="745">
        <v>40</v>
      </c>
      <c r="G12" s="746">
        <f t="shared" si="0"/>
        <v>4458</v>
      </c>
      <c r="H12" s="804">
        <f t="shared" si="1"/>
        <v>4645</v>
      </c>
      <c r="I12" s="742">
        <v>4458</v>
      </c>
      <c r="J12" s="211">
        <v>4645</v>
      </c>
      <c r="K12" s="507">
        <f>IF(I12&gt;0,ROUND(((G12+$S13+($S$33*$P13))/2.5),0),"-")</f>
        <v>2242</v>
      </c>
      <c r="L12" s="508">
        <f>IF(J12&gt;0,ROUND(((H12+$S26+($S$33*$P26))/2.5),0),"-")</f>
        <v>2468</v>
      </c>
      <c r="M12" s="1072"/>
      <c r="N12" s="1072"/>
      <c r="O12" s="111">
        <f>'Эл-ты панельных ограждений - 1'!D16</f>
        <v>2.5</v>
      </c>
      <c r="P12" s="13">
        <f>'Эл-ты панельных ограждений - 1'!F16</f>
        <v>4</v>
      </c>
      <c r="Q12" s="16">
        <f>'Эл-ты панельных ограждений - 1'!G16</f>
        <v>6.7750000000000004</v>
      </c>
      <c r="R12" s="1074"/>
      <c r="S12" s="170">
        <f>'Эл-ты панельных ограждений - 1'!I16</f>
        <v>777</v>
      </c>
    </row>
    <row r="13" spans="1:20" customFormat="1" ht="21.95" customHeight="1">
      <c r="A13" s="1102"/>
      <c r="B13" s="283" t="s">
        <v>468</v>
      </c>
      <c r="C13" s="497" t="s">
        <v>100</v>
      </c>
      <c r="D13" s="491"/>
      <c r="E13" s="498">
        <v>31.83</v>
      </c>
      <c r="F13" s="499">
        <v>40</v>
      </c>
      <c r="G13" s="892">
        <f t="shared" si="0"/>
        <v>4623</v>
      </c>
      <c r="H13" s="888">
        <f t="shared" si="1"/>
        <v>4816</v>
      </c>
      <c r="I13" s="742">
        <v>4623</v>
      </c>
      <c r="J13" s="211">
        <v>4816</v>
      </c>
      <c r="K13" s="507">
        <f>IF(I13&gt;0,ROUND(((G13+$S15+($S$33*$P15))/2.5),0),"-")</f>
        <v>2698</v>
      </c>
      <c r="L13" s="508">
        <f>IF(J13&gt;0,ROUND(((H13+$S31+($S$33*$P31))/2.5),0),"-")</f>
        <v>3069</v>
      </c>
      <c r="M13" s="1072"/>
      <c r="N13" s="1072"/>
      <c r="O13" s="111">
        <f>'Эл-ты панельных ограждений - 1'!D18</f>
        <v>3</v>
      </c>
      <c r="P13" s="13">
        <f>'Эл-ты панельных ограждений - 1'!F18</f>
        <v>4</v>
      </c>
      <c r="Q13" s="16">
        <f>'Эл-ты панельных ограждений - 1'!G18</f>
        <v>8.129999999999999</v>
      </c>
      <c r="R13" s="1074"/>
      <c r="S13" s="170">
        <f>'Эл-ты панельных ограждений - 1'!I18</f>
        <v>930</v>
      </c>
    </row>
    <row r="14" spans="1:20" customFormat="1" ht="21.95" customHeight="1">
      <c r="A14" s="1102"/>
      <c r="B14" s="285" t="s">
        <v>469</v>
      </c>
      <c r="C14" s="495" t="s">
        <v>100</v>
      </c>
      <c r="D14" s="496"/>
      <c r="E14" s="490">
        <v>34.18</v>
      </c>
      <c r="F14" s="494">
        <v>40</v>
      </c>
      <c r="G14" s="893">
        <f t="shared" si="0"/>
        <v>4964</v>
      </c>
      <c r="H14" s="889">
        <f t="shared" si="1"/>
        <v>5172</v>
      </c>
      <c r="I14" s="742">
        <v>4964</v>
      </c>
      <c r="J14" s="211">
        <v>5172</v>
      </c>
      <c r="K14" s="507">
        <f>IF(I14&gt;0,ROUND(((G14+$S15+($S$33*$P15))/2.5),0),"-")</f>
        <v>2834</v>
      </c>
      <c r="L14" s="508">
        <f>IF(J14&gt;0,ROUND(((H14+$S31+($S$33*$P31))/2.5),0),"-")</f>
        <v>3212</v>
      </c>
      <c r="M14" s="1072"/>
      <c r="N14" s="1070"/>
      <c r="O14" s="112">
        <f>'Эл-ты панельных ограждений - 1'!D19</f>
        <v>4</v>
      </c>
      <c r="P14" s="18">
        <f>'Эл-ты панельных ограждений - 1'!F19</f>
        <v>6</v>
      </c>
      <c r="Q14" s="17">
        <f>'Эл-ты панельных ограждений - 1'!G19</f>
        <v>10.84</v>
      </c>
      <c r="R14" s="1082"/>
      <c r="S14" s="171">
        <f>'Эл-ты панельных ограждений - 1'!I19</f>
        <v>1239</v>
      </c>
    </row>
    <row r="15" spans="1:20" customFormat="1" ht="21.95" customHeight="1">
      <c r="A15" s="1102"/>
      <c r="B15" s="285" t="s">
        <v>470</v>
      </c>
      <c r="C15" s="495" t="s">
        <v>100</v>
      </c>
      <c r="D15" s="496"/>
      <c r="E15" s="490">
        <v>36.54</v>
      </c>
      <c r="F15" s="494">
        <v>40</v>
      </c>
      <c r="G15" s="893">
        <f t="shared" si="0"/>
        <v>5528</v>
      </c>
      <c r="H15" s="889">
        <f t="shared" si="1"/>
        <v>5750</v>
      </c>
      <c r="I15" s="742">
        <v>5528</v>
      </c>
      <c r="J15" s="211">
        <v>5750</v>
      </c>
      <c r="K15" s="507">
        <f>IF(I15&gt;0,ROUND(((G15+$S15+($S$33*$P15))/2.5),0),"-")</f>
        <v>3060</v>
      </c>
      <c r="L15" s="508">
        <f>IF(J15&gt;0,ROUND(((H15+$S31+($S$33*$P31))/2.5),0),"-")</f>
        <v>3443</v>
      </c>
      <c r="M15" s="1072"/>
      <c r="N15" s="1069" t="s">
        <v>60</v>
      </c>
      <c r="O15" s="111">
        <f>'Эл-ты панельных ограждений - 1'!D22</f>
        <v>4</v>
      </c>
      <c r="P15" s="113">
        <f>'Эл-ты панельных ограждений - 1'!F22</f>
        <v>6</v>
      </c>
      <c r="Q15" s="16">
        <f>'Эл-ты панельных ограждений - 1'!G22</f>
        <v>15.52</v>
      </c>
      <c r="R15" s="1071">
        <f>'Эл-ты панельных ограждений - 1'!H20</f>
        <v>64</v>
      </c>
      <c r="S15" s="170">
        <f>'Эл-ты панельных ограждений - 1'!I22</f>
        <v>1798</v>
      </c>
    </row>
    <row r="16" spans="1:20" customFormat="1" ht="21.95" customHeight="1">
      <c r="A16" s="1102"/>
      <c r="B16" s="285" t="s">
        <v>488</v>
      </c>
      <c r="C16" s="495" t="s">
        <v>100</v>
      </c>
      <c r="D16" s="496"/>
      <c r="E16" s="490">
        <v>38.89</v>
      </c>
      <c r="F16" s="494">
        <v>40</v>
      </c>
      <c r="G16" s="893">
        <f t="shared" si="0"/>
        <v>5883</v>
      </c>
      <c r="H16" s="889">
        <f t="shared" si="1"/>
        <v>6119</v>
      </c>
      <c r="I16" s="742">
        <v>5883</v>
      </c>
      <c r="J16" s="211">
        <v>6119</v>
      </c>
      <c r="K16" s="507">
        <f>IF(I16&gt;0,ROUND(((G16+$S15+($S$33*$P15))/2.5),0),"-")</f>
        <v>3202</v>
      </c>
      <c r="L16" s="508">
        <f>IF(J16&gt;0,ROUND(((H16+$S31+($S$33*$P31))/2.5),0),"-")</f>
        <v>3590</v>
      </c>
      <c r="M16" s="1070"/>
      <c r="N16" s="1070"/>
      <c r="O16" s="131">
        <f>'Эл-ты панельных ограждений - 1'!D23</f>
        <v>5</v>
      </c>
      <c r="P16" s="196">
        <f>'Эл-ты панельных ограждений - 1'!F23</f>
        <v>8</v>
      </c>
      <c r="Q16" s="471">
        <f>'Эл-ты панельных ограждений - 1'!G23</f>
        <v>19.399999999999999</v>
      </c>
      <c r="R16" s="1071">
        <f>'Эл-ты панельных ограждений - 1'!H23</f>
        <v>0</v>
      </c>
      <c r="S16" s="469">
        <f>'Эл-ты панельных ограждений - 1'!I23</f>
        <v>2247</v>
      </c>
    </row>
    <row r="17" spans="1:19" customFormat="1" ht="21.95" customHeight="1" thickBot="1">
      <c r="A17" s="1103"/>
      <c r="B17" s="853" t="s">
        <v>489</v>
      </c>
      <c r="C17" s="770" t="s">
        <v>100</v>
      </c>
      <c r="D17" s="771"/>
      <c r="E17" s="772">
        <v>41.24</v>
      </c>
      <c r="F17" s="773">
        <v>40</v>
      </c>
      <c r="G17" s="895">
        <f t="shared" si="0"/>
        <v>6240</v>
      </c>
      <c r="H17" s="890">
        <f t="shared" si="1"/>
        <v>6488</v>
      </c>
      <c r="I17" s="793">
        <v>6240</v>
      </c>
      <c r="J17" s="472">
        <v>6488</v>
      </c>
      <c r="K17" s="509">
        <f>IF(I17&gt;0,ROUND(((G17+$S16+($S$33*$P16))/2.5),0),"-")</f>
        <v>3568</v>
      </c>
      <c r="L17" s="510">
        <f>IF(J17&gt;0,ROUND(((H17+$S32+($S$33*$P32))/2.5),0),"-")</f>
        <v>3781</v>
      </c>
      <c r="M17" s="1069" t="s">
        <v>235</v>
      </c>
      <c r="N17" s="1069" t="s">
        <v>85</v>
      </c>
      <c r="O17" s="114">
        <f>'Эл-ты панельных ограждений - 1'!D27</f>
        <v>1.1000000000000001</v>
      </c>
      <c r="P17" s="12">
        <f>'Эл-ты панельных ограждений - 1'!F27</f>
        <v>2</v>
      </c>
      <c r="Q17" s="15">
        <f>'Эл-ты панельных ограждений - 1'!G27</f>
        <v>2.9810000000000003</v>
      </c>
      <c r="R17" s="1073">
        <f>'Эл-ты панельных ограждений - 1'!H26</f>
        <v>0</v>
      </c>
      <c r="S17" s="169">
        <f>'Эл-ты панельных ограждений - 1'!I27</f>
        <v>525</v>
      </c>
    </row>
    <row r="18" spans="1:19" customFormat="1" ht="21.95" customHeight="1">
      <c r="A18" s="1101" t="s">
        <v>498</v>
      </c>
      <c r="B18" s="897" t="s">
        <v>472</v>
      </c>
      <c r="C18" s="794" t="s">
        <v>100</v>
      </c>
      <c r="D18" s="795"/>
      <c r="E18" s="796">
        <v>22.58</v>
      </c>
      <c r="F18" s="797">
        <v>20</v>
      </c>
      <c r="G18" s="898">
        <f t="shared" si="0"/>
        <v>3826</v>
      </c>
      <c r="H18" s="899">
        <f t="shared" si="1"/>
        <v>3965</v>
      </c>
      <c r="I18" s="740">
        <v>3826</v>
      </c>
      <c r="J18" s="212">
        <v>3965</v>
      </c>
      <c r="K18" s="505">
        <f t="shared" ref="K18:K22" si="2">IF(I18&gt;0,ROUND(((G18+S6+($S$33*P6))/2.5),0),"-")</f>
        <v>1776</v>
      </c>
      <c r="L18" s="506">
        <f t="shared" ref="L18:L22" si="3">IF(I18&gt;0,ROUND(((H18+S19+($S$33*P19))/2.5),0),"-")</f>
        <v>1908</v>
      </c>
      <c r="M18" s="1072"/>
      <c r="N18" s="1072"/>
      <c r="O18" s="111">
        <f>'Эл-ты панельных ограждений - 1'!D28</f>
        <v>1.3</v>
      </c>
      <c r="P18" s="13">
        <f>'Эл-ты панельных ограждений - 1'!F28</f>
        <v>2</v>
      </c>
      <c r="Q18" s="16">
        <f>'Эл-ты панельных ограждений - 1'!G28</f>
        <v>3.5230000000000001</v>
      </c>
      <c r="R18" s="1074"/>
      <c r="S18" s="170">
        <f>'Эл-ты панельных ограждений - 1'!I28</f>
        <v>621</v>
      </c>
    </row>
    <row r="19" spans="1:19" customFormat="1" ht="21.95" customHeight="1">
      <c r="A19" s="1102"/>
      <c r="B19" s="111" t="s">
        <v>464</v>
      </c>
      <c r="C19" s="490" t="s">
        <v>100</v>
      </c>
      <c r="D19" s="492"/>
      <c r="E19" s="493">
        <v>26.63</v>
      </c>
      <c r="F19" s="494">
        <v>20</v>
      </c>
      <c r="G19" s="893">
        <f t="shared" si="0"/>
        <v>4514</v>
      </c>
      <c r="H19" s="801">
        <f t="shared" si="1"/>
        <v>4673</v>
      </c>
      <c r="I19" s="742">
        <v>4514</v>
      </c>
      <c r="J19" s="211">
        <v>4673</v>
      </c>
      <c r="K19" s="507">
        <f t="shared" si="2"/>
        <v>2079</v>
      </c>
      <c r="L19" s="508">
        <f t="shared" si="3"/>
        <v>2228</v>
      </c>
      <c r="M19" s="1072"/>
      <c r="N19" s="1072"/>
      <c r="O19" s="111">
        <f>'Эл-ты панельных ограждений - 1'!D30</f>
        <v>1.5</v>
      </c>
      <c r="P19" s="13">
        <f>'Эл-ты панельных ограждений - 1'!F30</f>
        <v>2</v>
      </c>
      <c r="Q19" s="16">
        <f>'Эл-ты панельных ограждений - 1'!G30</f>
        <v>4.0649999999999995</v>
      </c>
      <c r="R19" s="1074"/>
      <c r="S19" s="170">
        <f>'Эл-ты панельных ограждений - 1'!I30</f>
        <v>697</v>
      </c>
    </row>
    <row r="20" spans="1:19" customFormat="1" ht="21.95" customHeight="1">
      <c r="A20" s="1102"/>
      <c r="B20" s="111" t="s">
        <v>465</v>
      </c>
      <c r="C20" s="490" t="s">
        <v>100</v>
      </c>
      <c r="D20" s="492"/>
      <c r="E20" s="493">
        <v>30.68</v>
      </c>
      <c r="F20" s="494">
        <v>20</v>
      </c>
      <c r="G20" s="893">
        <f t="shared" si="0"/>
        <v>4642</v>
      </c>
      <c r="H20" s="801">
        <f t="shared" si="1"/>
        <v>4828</v>
      </c>
      <c r="I20" s="742">
        <v>4642</v>
      </c>
      <c r="J20" s="211">
        <v>4828</v>
      </c>
      <c r="K20" s="507">
        <f t="shared" si="2"/>
        <v>2146</v>
      </c>
      <c r="L20" s="508">
        <f t="shared" si="3"/>
        <v>2327</v>
      </c>
      <c r="M20" s="1072"/>
      <c r="N20" s="1072"/>
      <c r="O20" s="111">
        <f>'Эл-ты панельных ограждений - 1'!D31</f>
        <v>1.7</v>
      </c>
      <c r="P20" s="13">
        <f>'Эл-ты панельных ограждений - 1'!F31</f>
        <v>2</v>
      </c>
      <c r="Q20" s="16">
        <f>'Эл-ты панельных ограждений - 1'!G31</f>
        <v>4.6070000000000002</v>
      </c>
      <c r="R20" s="1074"/>
      <c r="S20" s="170">
        <f>'Эл-ты панельных ограждений - 1'!I31</f>
        <v>790</v>
      </c>
    </row>
    <row r="21" spans="1:19" customFormat="1" ht="21.95" customHeight="1">
      <c r="A21" s="1102"/>
      <c r="B21" s="111" t="s">
        <v>486</v>
      </c>
      <c r="C21" s="490" t="s">
        <v>100</v>
      </c>
      <c r="D21" s="492"/>
      <c r="E21" s="493">
        <v>34.74</v>
      </c>
      <c r="F21" s="494">
        <v>20</v>
      </c>
      <c r="G21" s="893">
        <f t="shared" si="0"/>
        <v>5256</v>
      </c>
      <c r="H21" s="801">
        <f t="shared" si="1"/>
        <v>5467</v>
      </c>
      <c r="I21" s="742">
        <v>5256</v>
      </c>
      <c r="J21" s="211">
        <v>5467</v>
      </c>
      <c r="K21" s="507">
        <f t="shared" si="2"/>
        <v>2426</v>
      </c>
      <c r="L21" s="508">
        <f t="shared" si="3"/>
        <v>2612</v>
      </c>
      <c r="M21" s="1072"/>
      <c r="N21" s="1072"/>
      <c r="O21" s="111">
        <f>'Эл-ты панельных ограждений - 1'!D32</f>
        <v>1.9</v>
      </c>
      <c r="P21" s="13">
        <f>'Эл-ты панельных ограждений - 1'!F32</f>
        <v>2</v>
      </c>
      <c r="Q21" s="16">
        <f>'Эл-ты панельных ограждений - 1'!G32</f>
        <v>5.149</v>
      </c>
      <c r="R21" s="1074"/>
      <c r="S21" s="170">
        <f>'Эл-ты панельных ограждений - 1'!I32</f>
        <v>881</v>
      </c>
    </row>
    <row r="22" spans="1:19" customFormat="1" ht="21.95" customHeight="1">
      <c r="A22" s="1102"/>
      <c r="B22" s="285" t="s">
        <v>487</v>
      </c>
      <c r="C22" s="490" t="s">
        <v>100</v>
      </c>
      <c r="D22" s="492"/>
      <c r="E22" s="493">
        <v>38.79</v>
      </c>
      <c r="F22" s="494">
        <v>20</v>
      </c>
      <c r="G22" s="893">
        <f t="shared" si="0"/>
        <v>5869</v>
      </c>
      <c r="H22" s="801">
        <f t="shared" si="1"/>
        <v>6103</v>
      </c>
      <c r="I22" s="742">
        <v>5869</v>
      </c>
      <c r="J22" s="211">
        <v>6103</v>
      </c>
      <c r="K22" s="507">
        <f t="shared" si="2"/>
        <v>2697</v>
      </c>
      <c r="L22" s="508">
        <f t="shared" si="3"/>
        <v>2903</v>
      </c>
      <c r="M22" s="1072"/>
      <c r="N22" s="1072"/>
      <c r="O22" s="111">
        <f>'Эл-ты панельных ограждений - 1'!D34</f>
        <v>2</v>
      </c>
      <c r="P22" s="13">
        <f>'Эл-ты панельных ограждений - 1'!F34</f>
        <v>3</v>
      </c>
      <c r="Q22" s="16">
        <f>'Эл-ты панельных ограждений - 1'!G34</f>
        <v>5.42</v>
      </c>
      <c r="R22" s="1074"/>
      <c r="S22" s="170">
        <f>'Эл-ты панельных ограждений - 1'!I34</f>
        <v>900</v>
      </c>
    </row>
    <row r="23" spans="1:19" customFormat="1" ht="21.95" customHeight="1">
      <c r="A23" s="1102"/>
      <c r="B23" s="285" t="s">
        <v>476</v>
      </c>
      <c r="C23" s="490" t="s">
        <v>100</v>
      </c>
      <c r="D23" s="492"/>
      <c r="E23" s="493">
        <v>42.85</v>
      </c>
      <c r="F23" s="494">
        <v>20</v>
      </c>
      <c r="G23" s="893">
        <f t="shared" si="0"/>
        <v>6484</v>
      </c>
      <c r="H23" s="801">
        <f t="shared" si="1"/>
        <v>6742</v>
      </c>
      <c r="I23" s="742">
        <v>6484</v>
      </c>
      <c r="J23" s="211">
        <v>6742</v>
      </c>
      <c r="K23" s="507">
        <f>IF(I23&gt;0,ROUND(((G23+S12+($S$33*P12))/2.5),0),"-")</f>
        <v>2991</v>
      </c>
      <c r="L23" s="508">
        <f>IF(I23&gt;0,ROUND(((H23+S25+($S$33*P25))/2.5),0),"-")</f>
        <v>3220</v>
      </c>
      <c r="M23" s="1072"/>
      <c r="N23" s="1072"/>
      <c r="O23" s="111">
        <f>'Эл-ты панельных ограждений - 1'!D35</f>
        <v>2.2000000000000002</v>
      </c>
      <c r="P23" s="13">
        <f>'Эл-ты панельных ограждений - 1'!F35</f>
        <v>3</v>
      </c>
      <c r="Q23" s="16">
        <f>'Эл-ты панельных ограждений - 1'!G35</f>
        <v>5.9620000000000006</v>
      </c>
      <c r="R23" s="1074"/>
      <c r="S23" s="170">
        <f>'Эл-ты панельных ограждений - 1'!I35</f>
        <v>992</v>
      </c>
    </row>
    <row r="24" spans="1:19" customFormat="1" ht="21.95" customHeight="1">
      <c r="A24" s="1102"/>
      <c r="B24" s="285" t="s">
        <v>467</v>
      </c>
      <c r="C24" s="490" t="s">
        <v>100</v>
      </c>
      <c r="D24" s="492"/>
      <c r="E24" s="493">
        <v>46.9</v>
      </c>
      <c r="F24" s="494">
        <v>20</v>
      </c>
      <c r="G24" s="893">
        <f t="shared" si="0"/>
        <v>7095</v>
      </c>
      <c r="H24" s="801">
        <f t="shared" si="1"/>
        <v>7379</v>
      </c>
      <c r="I24" s="742">
        <v>7095</v>
      </c>
      <c r="J24" s="211">
        <v>7379</v>
      </c>
      <c r="K24" s="507">
        <f>IF(I24&gt;0,ROUND(((G24+S13+($S$33*P13))/2.5),0),"-")</f>
        <v>3296</v>
      </c>
      <c r="L24" s="508">
        <f>IF(I24&gt;0,ROUND(((H24+S26+($S$33*P26))/2.5),0),"-")</f>
        <v>3562</v>
      </c>
      <c r="M24" s="1072"/>
      <c r="N24" s="1072"/>
      <c r="O24" s="111">
        <f>'Эл-ты панельных ограждений - 1'!D36</f>
        <v>2.4</v>
      </c>
      <c r="P24" s="13">
        <f>'Эл-ты панельных ограждений - 1'!F36</f>
        <v>3</v>
      </c>
      <c r="Q24" s="16">
        <f>'Эл-ты панельных ограждений - 1'!G36</f>
        <v>6.5039999999999996</v>
      </c>
      <c r="R24" s="1074"/>
      <c r="S24" s="170">
        <f>'Эл-ты панельных ограждений - 1'!I36</f>
        <v>1048</v>
      </c>
    </row>
    <row r="25" spans="1:19" customFormat="1" ht="21.95" customHeight="1">
      <c r="A25" s="1102"/>
      <c r="B25" s="285" t="s">
        <v>478</v>
      </c>
      <c r="C25" s="490" t="s">
        <v>100</v>
      </c>
      <c r="D25" s="492"/>
      <c r="E25" s="493">
        <v>50.96</v>
      </c>
      <c r="F25" s="494">
        <v>20</v>
      </c>
      <c r="G25" s="893">
        <f t="shared" si="0"/>
        <v>7708</v>
      </c>
      <c r="H25" s="801">
        <f t="shared" si="1"/>
        <v>8018</v>
      </c>
      <c r="I25" s="742">
        <v>7708</v>
      </c>
      <c r="J25" s="211">
        <v>8018</v>
      </c>
      <c r="K25" s="507">
        <f>IF(I25&gt;0,ROUND(((G25+S13+($S$33*P13))/2.5),0),"-")</f>
        <v>3542</v>
      </c>
      <c r="L25" s="508">
        <f>IF(I25&gt;0,ROUND(((H25+S26+($S$33*P26))/2.5),0),"-")</f>
        <v>3817</v>
      </c>
      <c r="M25" s="1072"/>
      <c r="N25" s="1072"/>
      <c r="O25" s="111">
        <f>'Эл-ты панельных ограждений - 1'!D38</f>
        <v>2.5</v>
      </c>
      <c r="P25" s="13">
        <f>'Эл-ты панельных ограждений - 1'!F38</f>
        <v>4</v>
      </c>
      <c r="Q25" s="16">
        <f>'Эл-ты панельных ограждений - 1'!G38</f>
        <v>6.7750000000000004</v>
      </c>
      <c r="R25" s="1074"/>
      <c r="S25" s="170">
        <f>'Эл-ты панельных ограждений - 1'!I38</f>
        <v>1091</v>
      </c>
    </row>
    <row r="26" spans="1:19" customFormat="1" ht="21.95" customHeight="1">
      <c r="A26" s="1102"/>
      <c r="B26" s="285" t="s">
        <v>468</v>
      </c>
      <c r="C26" s="490" t="s">
        <v>100</v>
      </c>
      <c r="D26" s="492"/>
      <c r="E26" s="493">
        <v>52.84</v>
      </c>
      <c r="F26" s="494">
        <v>20</v>
      </c>
      <c r="G26" s="893">
        <f t="shared" si="0"/>
        <v>7994</v>
      </c>
      <c r="H26" s="801">
        <f t="shared" si="1"/>
        <v>8313</v>
      </c>
      <c r="I26" s="742">
        <v>7994</v>
      </c>
      <c r="J26" s="211">
        <v>8313</v>
      </c>
      <c r="K26" s="507">
        <f>IF(I26&gt;0,ROUND(((G26+S15+($S$33*P15))/2.5),0),"-")</f>
        <v>4046</v>
      </c>
      <c r="L26" s="508">
        <f>IF(I26&gt;0,ROUND(((H26+S26+($S$33*P26))/2.5),0),"-")</f>
        <v>3935</v>
      </c>
      <c r="M26" s="1072"/>
      <c r="N26" s="1072"/>
      <c r="O26" s="111">
        <f>'Эл-ты панельных ограждений - 1'!D40</f>
        <v>3</v>
      </c>
      <c r="P26" s="13">
        <f>'Эл-ты панельных ограждений - 1'!F40</f>
        <v>4</v>
      </c>
      <c r="Q26" s="16">
        <f>'Эл-ты панельных ограждений - 1'!G40</f>
        <v>8.129999999999999</v>
      </c>
      <c r="R26" s="1074"/>
      <c r="S26" s="170">
        <f>'Эл-ты панельных ограждений - 1'!I40</f>
        <v>1309</v>
      </c>
    </row>
    <row r="27" spans="1:19" customFormat="1" ht="21.95" customHeight="1">
      <c r="A27" s="1102"/>
      <c r="B27" s="285" t="s">
        <v>469</v>
      </c>
      <c r="C27" s="497" t="s">
        <v>100</v>
      </c>
      <c r="D27" s="491"/>
      <c r="E27" s="498">
        <v>56.73</v>
      </c>
      <c r="F27" s="499">
        <v>20</v>
      </c>
      <c r="G27" s="893">
        <f t="shared" si="0"/>
        <v>8582</v>
      </c>
      <c r="H27" s="801">
        <f t="shared" si="1"/>
        <v>8926</v>
      </c>
      <c r="I27" s="742">
        <v>8582</v>
      </c>
      <c r="J27" s="211">
        <v>8926</v>
      </c>
      <c r="K27" s="507">
        <f>IF(I27&gt;0,ROUND(((G27+S15+($S$33*P15))/2.5),0),"-")</f>
        <v>4282</v>
      </c>
      <c r="L27" s="508">
        <f>IF(I27&gt;0,ROUND(((H27+S31+($S$33*P31))/2.5),0),"-")</f>
        <v>4713</v>
      </c>
      <c r="M27" s="1072"/>
      <c r="N27" s="1072"/>
      <c r="O27" s="286">
        <f>'Эл-ты панельных ограждений - 1'!D41</f>
        <v>4</v>
      </c>
      <c r="P27" s="197">
        <f>'Эл-ты панельных ограждений - 1'!F41</f>
        <v>6</v>
      </c>
      <c r="Q27" s="198">
        <f>'Эл-ты панельных ограждений - 1'!G41</f>
        <v>10.84</v>
      </c>
      <c r="R27" s="1074"/>
      <c r="S27" s="199">
        <f>'Эл-ты панельных ограждений - 1'!I41</f>
        <v>1703</v>
      </c>
    </row>
    <row r="28" spans="1:19" customFormat="1" ht="21.95" customHeight="1">
      <c r="A28" s="1102"/>
      <c r="B28" s="285" t="s">
        <v>470</v>
      </c>
      <c r="C28" s="490" t="s">
        <v>100</v>
      </c>
      <c r="D28" s="492"/>
      <c r="E28" s="493">
        <v>60.63</v>
      </c>
      <c r="F28" s="494">
        <v>20</v>
      </c>
      <c r="G28" s="893">
        <f t="shared" si="0"/>
        <v>9537</v>
      </c>
      <c r="H28" s="801">
        <f t="shared" si="1"/>
        <v>9906</v>
      </c>
      <c r="I28" s="742">
        <v>9537</v>
      </c>
      <c r="J28" s="211">
        <v>9906</v>
      </c>
      <c r="K28" s="507">
        <f>IF(I28&gt;0,ROUND(((G28+S15+($S$33*P15))/2.5),0),"-")</f>
        <v>4664</v>
      </c>
      <c r="L28" s="508">
        <f>IF(I28&gt;0,ROUND(((H28+S31+($S$33*P31))/2.5),0),"-")</f>
        <v>5105</v>
      </c>
      <c r="M28" s="1072"/>
      <c r="N28" s="1069" t="s">
        <v>288</v>
      </c>
      <c r="O28" s="114">
        <f>'Эл-ты панельных ограждений - 1'!D24</f>
        <v>4</v>
      </c>
      <c r="P28" s="12">
        <f>'Эл-ты панельных ограждений - 1'!F24</f>
        <v>6</v>
      </c>
      <c r="Q28" s="15">
        <f>'Эл-ты панельных ограждений - 1'!G24</f>
        <v>16.72</v>
      </c>
      <c r="R28" s="1022">
        <f>'Эл-ты панельных ограждений - 1'!H24</f>
        <v>72</v>
      </c>
      <c r="S28" s="169">
        <f>'Эл-ты панельных ограждений - 1'!I24</f>
        <v>2787</v>
      </c>
    </row>
    <row r="29" spans="1:19" customFormat="1" ht="21.95" customHeight="1">
      <c r="A29" s="1102"/>
      <c r="B29" s="285" t="s">
        <v>488</v>
      </c>
      <c r="C29" s="490" t="s">
        <v>100</v>
      </c>
      <c r="D29" s="492"/>
      <c r="E29" s="493">
        <v>64.52</v>
      </c>
      <c r="F29" s="494">
        <v>20</v>
      </c>
      <c r="G29" s="893">
        <f t="shared" si="0"/>
        <v>10150</v>
      </c>
      <c r="H29" s="801">
        <f t="shared" si="1"/>
        <v>10542</v>
      </c>
      <c r="I29" s="742">
        <v>10150</v>
      </c>
      <c r="J29" s="211">
        <v>10542</v>
      </c>
      <c r="K29" s="507">
        <f>IF(I29&gt;0,ROUND(((G29+S15+($S$33*P15))/2.5),0),"-")</f>
        <v>4909</v>
      </c>
      <c r="L29" s="508">
        <f>IF(I29&gt;0,ROUND(((H29+S31+($S$33*P31))/2.5),0),"-")</f>
        <v>5360</v>
      </c>
      <c r="M29" s="1072"/>
      <c r="N29" s="1070"/>
      <c r="O29" s="112">
        <f>'Эл-ты панельных ограждений - 1'!D25</f>
        <v>5</v>
      </c>
      <c r="P29" s="18">
        <f>'Эл-ты панельных ограждений - 1'!F25</f>
        <v>8</v>
      </c>
      <c r="Q29" s="17">
        <f>'Эл-ты панельных ограждений - 1'!G25</f>
        <v>20.9</v>
      </c>
      <c r="R29" s="1075"/>
      <c r="S29" s="171">
        <f>'Эл-ты панельных ограждений - 1'!I25</f>
        <v>3483</v>
      </c>
    </row>
    <row r="30" spans="1:19" customFormat="1" ht="21.95" customHeight="1" thickBot="1">
      <c r="A30" s="1103"/>
      <c r="B30" s="853" t="s">
        <v>489</v>
      </c>
      <c r="C30" s="772" t="s">
        <v>100</v>
      </c>
      <c r="D30" s="799"/>
      <c r="E30" s="800">
        <v>68.42</v>
      </c>
      <c r="F30" s="773">
        <v>20</v>
      </c>
      <c r="G30" s="895">
        <f t="shared" si="0"/>
        <v>10765</v>
      </c>
      <c r="H30" s="900">
        <f t="shared" si="1"/>
        <v>11179</v>
      </c>
      <c r="I30" s="793">
        <v>10765</v>
      </c>
      <c r="J30" s="472">
        <v>11179</v>
      </c>
      <c r="K30" s="509">
        <f>IF(I30&gt;0,ROUND(((G30+S16+($S$33*P16))/2.5),0),"-")</f>
        <v>5378</v>
      </c>
      <c r="L30" s="510">
        <f>IF(I30&gt;0,ROUND(((H30+S32+($S$33*P32))/2.5),0),"-")</f>
        <v>5658</v>
      </c>
      <c r="M30" s="1072"/>
      <c r="N30" s="477" t="s">
        <v>290</v>
      </c>
      <c r="O30" s="153">
        <f>'Эл-ты панельных ограждений - 1'!D42</f>
        <v>4</v>
      </c>
      <c r="P30" s="154">
        <f>'Эл-ты панельных ограждений - 1'!F42</f>
        <v>6</v>
      </c>
      <c r="Q30" s="155">
        <f>'Эл-ты панельных ограждений - 1'!G42</f>
        <v>19.2</v>
      </c>
      <c r="R30" s="478">
        <f>'Эл-ты панельных ограждений - 1'!H42</f>
        <v>54</v>
      </c>
      <c r="S30" s="200">
        <f>'Эл-ты панельных ограждений - 1'!I42</f>
        <v>3042</v>
      </c>
    </row>
    <row r="31" spans="1:19" customFormat="1" ht="45" customHeight="1">
      <c r="A31" s="1062" t="s">
        <v>501</v>
      </c>
      <c r="B31" s="1062"/>
      <c r="C31" s="1062"/>
      <c r="D31" s="1062"/>
      <c r="E31" s="1062"/>
      <c r="F31" s="1062"/>
      <c r="G31" s="1062"/>
      <c r="H31" s="1062"/>
      <c r="I31" s="1062"/>
      <c r="J31" s="1062"/>
      <c r="K31" s="1062"/>
      <c r="L31" s="1062"/>
      <c r="M31" s="1104"/>
      <c r="N31" s="1069" t="s">
        <v>60</v>
      </c>
      <c r="O31" s="111">
        <f>'Эл-ты панельных ограждений - 1'!D48</f>
        <v>4</v>
      </c>
      <c r="P31" s="13">
        <f>'Эл-ты панельных ограждений - 1'!F48</f>
        <v>6</v>
      </c>
      <c r="Q31" s="16">
        <f>'Эл-ты панельных ограждений - 1'!G48</f>
        <v>15.52</v>
      </c>
      <c r="R31" s="1022">
        <f>'Эл-ты панельных ограждений - 1'!H48</f>
        <v>64</v>
      </c>
      <c r="S31" s="170">
        <f>'Эл-ты панельных ограждений - 1'!I48</f>
        <v>2533</v>
      </c>
    </row>
    <row r="32" spans="1:19" customFormat="1" ht="21.95" customHeight="1">
      <c r="A32" s="474" t="s">
        <v>481</v>
      </c>
      <c r="B32" s="11"/>
      <c r="C32" s="11"/>
      <c r="D32" s="11"/>
      <c r="E32" s="11"/>
      <c r="F32" s="1"/>
      <c r="G32" s="475"/>
      <c r="H32" s="475"/>
      <c r="I32" s="475"/>
      <c r="J32" s="475"/>
      <c r="K32" s="475"/>
      <c r="L32" s="475"/>
      <c r="M32" s="1070"/>
      <c r="N32" s="1070"/>
      <c r="O32" s="112">
        <f>'Эл-ты панельных ограждений - 1'!D49</f>
        <v>5</v>
      </c>
      <c r="P32" s="18">
        <f>'Эл-ты панельных ограждений - 1'!F49</f>
        <v>8</v>
      </c>
      <c r="Q32" s="17">
        <f>'Эл-ты панельных ограждений - 1'!G49</f>
        <v>19.399999999999999</v>
      </c>
      <c r="R32" s="1075"/>
      <c r="S32" s="171">
        <f>'Эл-ты панельных ограждений - 1'!I48</f>
        <v>2533</v>
      </c>
    </row>
    <row r="33" spans="1:19" customFormat="1" ht="21.95" customHeight="1">
      <c r="A33" s="473" t="s">
        <v>480</v>
      </c>
      <c r="B33" s="79"/>
      <c r="C33" s="79"/>
      <c r="D33" s="79"/>
      <c r="E33" s="79"/>
      <c r="F33" s="475"/>
      <c r="G33" s="475"/>
      <c r="H33" s="475"/>
      <c r="I33" s="475"/>
      <c r="J33" s="475"/>
      <c r="K33" s="475"/>
      <c r="L33" s="475"/>
      <c r="M33" s="1083" t="s">
        <v>90</v>
      </c>
      <c r="N33" s="1084"/>
      <c r="O33" s="1085"/>
      <c r="P33" s="1090" t="s">
        <v>323</v>
      </c>
      <c r="Q33" s="1093">
        <f>'Эл-ты панельных ограждений - 1'!G50</f>
        <v>0.05</v>
      </c>
      <c r="R33" s="1073">
        <f>'Эл-ты панельных ограждений - 1'!H50</f>
        <v>100</v>
      </c>
      <c r="S33" s="1076">
        <f>'Эл-ты панельных ограждений - 1'!I50</f>
        <v>54</v>
      </c>
    </row>
    <row r="34" spans="1:19" customFormat="1" ht="21.95" customHeight="1">
      <c r="A34" s="381" t="s">
        <v>516</v>
      </c>
      <c r="B34" s="79"/>
      <c r="C34" s="79"/>
      <c r="D34" s="79"/>
      <c r="E34" s="79"/>
      <c r="F34" s="475"/>
      <c r="G34" s="475"/>
      <c r="H34" s="475"/>
      <c r="I34" s="475"/>
      <c r="J34" s="475"/>
      <c r="K34" s="475"/>
      <c r="L34" s="475"/>
      <c r="M34" s="1086"/>
      <c r="N34" s="1087"/>
      <c r="O34" s="1088"/>
      <c r="P34" s="1091"/>
      <c r="Q34" s="1094"/>
      <c r="R34" s="1074"/>
      <c r="S34" s="1077"/>
    </row>
    <row r="35" spans="1:19" customFormat="1" ht="21.95" customHeight="1">
      <c r="A35" s="381" t="s">
        <v>517</v>
      </c>
      <c r="B35" s="79"/>
      <c r="C35" s="79"/>
      <c r="D35" s="79"/>
      <c r="E35" s="79"/>
      <c r="F35" s="1"/>
      <c r="G35" s="475"/>
      <c r="H35" s="475"/>
      <c r="I35" s="475"/>
      <c r="J35" s="475"/>
      <c r="K35" s="475"/>
      <c r="L35" s="475"/>
      <c r="M35" s="1030"/>
      <c r="N35" s="1089"/>
      <c r="O35" s="1031"/>
      <c r="P35" s="1092"/>
      <c r="Q35" s="1095"/>
      <c r="R35" s="1082"/>
      <c r="S35" s="1078"/>
    </row>
    <row r="36" spans="1:19" customFormat="1" ht="21.95" customHeight="1">
      <c r="A36" s="476" t="s">
        <v>518</v>
      </c>
      <c r="B36" s="79"/>
      <c r="C36" s="79"/>
      <c r="D36" s="79"/>
      <c r="E36" s="79"/>
      <c r="F36" s="475"/>
      <c r="G36" s="475"/>
      <c r="H36" s="475"/>
      <c r="I36" s="475"/>
      <c r="J36" s="475"/>
      <c r="K36" s="475"/>
      <c r="L36" s="475"/>
      <c r="M36" s="484"/>
      <c r="N36" s="484"/>
      <c r="O36" s="484"/>
      <c r="P36" s="485"/>
      <c r="Q36" s="486"/>
      <c r="R36" s="487"/>
      <c r="S36" s="488"/>
    </row>
    <row r="37" spans="1:19" customFormat="1" ht="112.5" customHeight="1">
      <c r="A37" s="1048" t="s">
        <v>483</v>
      </c>
      <c r="B37" s="1048"/>
      <c r="C37" s="1048"/>
      <c r="D37" s="2"/>
      <c r="E37" s="1048" t="s">
        <v>482</v>
      </c>
      <c r="F37" s="1048"/>
      <c r="G37" s="1048"/>
      <c r="H37" s="1048"/>
      <c r="I37" s="1048"/>
      <c r="J37" s="1048"/>
      <c r="K37" s="1048"/>
      <c r="L37" s="1048"/>
      <c r="M37" s="484"/>
      <c r="N37" s="484"/>
      <c r="O37" s="484"/>
      <c r="P37" s="485"/>
      <c r="Q37" s="486"/>
      <c r="R37" s="487"/>
      <c r="S37" s="488"/>
    </row>
    <row r="38" spans="1:19" customFormat="1" ht="46.5" customHeight="1">
      <c r="A38" s="589" t="s">
        <v>234</v>
      </c>
      <c r="B38" s="590"/>
      <c r="C38" s="590"/>
      <c r="D38" s="590"/>
      <c r="E38" s="590"/>
      <c r="F38" s="591"/>
      <c r="G38" s="591"/>
      <c r="H38" s="591"/>
      <c r="I38" s="475"/>
      <c r="J38" s="475"/>
      <c r="K38" s="475"/>
      <c r="L38" s="475"/>
      <c r="M38" s="484"/>
      <c r="N38" s="484"/>
      <c r="O38" s="484"/>
      <c r="P38" s="485"/>
      <c r="Q38" s="486"/>
      <c r="R38" s="487"/>
      <c r="S38" s="488"/>
    </row>
    <row r="39" spans="1:19" customFormat="1" ht="21.95" customHeight="1">
      <c r="A39" s="215" t="s">
        <v>280</v>
      </c>
      <c r="B39" s="193"/>
      <c r="C39" s="193"/>
      <c r="D39" s="193"/>
      <c r="E39" s="193"/>
      <c r="F39" s="193"/>
      <c r="G39" s="193"/>
      <c r="H39" s="193"/>
      <c r="I39" s="42"/>
      <c r="J39" s="42"/>
      <c r="K39" s="42"/>
      <c r="L39" s="1"/>
      <c r="M39" s="484"/>
      <c r="N39" s="484"/>
      <c r="O39" s="484"/>
      <c r="P39" s="485"/>
      <c r="Q39" s="486"/>
      <c r="R39" s="487"/>
      <c r="S39" s="488"/>
    </row>
    <row r="40" spans="1:19" customFormat="1" ht="21.95" customHeight="1">
      <c r="A40" s="215" t="s">
        <v>185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"/>
      <c r="M40" s="484"/>
      <c r="N40" s="484"/>
      <c r="O40" s="484"/>
      <c r="P40" s="485"/>
      <c r="Q40" s="486"/>
      <c r="R40" s="487"/>
      <c r="S40" s="488"/>
    </row>
    <row r="41" spans="1:19" customFormat="1" ht="21.95" customHeight="1">
      <c r="A41" s="215" t="s">
        <v>24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"/>
      <c r="M41" s="484"/>
      <c r="N41" s="484"/>
      <c r="O41" s="484"/>
      <c r="P41" s="485"/>
      <c r="Q41" s="486"/>
      <c r="R41" s="487"/>
      <c r="S41" s="488"/>
    </row>
    <row r="42" spans="1:19" customFormat="1" ht="21.95" customHeight="1">
      <c r="A42" s="216" t="s">
        <v>25</v>
      </c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1"/>
      <c r="M42" s="484"/>
      <c r="N42" s="484"/>
      <c r="O42" s="484"/>
      <c r="P42" s="485"/>
      <c r="Q42" s="486"/>
      <c r="R42" s="487"/>
      <c r="S42" s="488"/>
    </row>
    <row r="43" spans="1:19" customFormat="1" ht="21.95" customHeight="1">
      <c r="A43" s="215" t="s">
        <v>2</v>
      </c>
      <c r="B43" s="215"/>
      <c r="C43" s="215"/>
      <c r="D43" s="215"/>
      <c r="E43" s="215"/>
      <c r="F43" s="215"/>
      <c r="G43" s="215"/>
      <c r="H43" s="215"/>
      <c r="I43" s="215"/>
      <c r="J43" s="215"/>
      <c r="K43" s="11"/>
      <c r="L43" s="1"/>
      <c r="M43" s="484"/>
      <c r="N43" s="484"/>
      <c r="O43" s="484"/>
      <c r="P43" s="485"/>
      <c r="Q43" s="486"/>
      <c r="R43" s="487"/>
      <c r="S43" s="488"/>
    </row>
    <row r="44" spans="1:19" customFormat="1" ht="21.95" customHeight="1">
      <c r="A44" s="215" t="s">
        <v>3</v>
      </c>
      <c r="B44" s="215"/>
      <c r="C44" s="215"/>
      <c r="D44" s="215"/>
      <c r="E44" s="215"/>
      <c r="F44" s="215"/>
      <c r="G44" s="215"/>
      <c r="H44" s="215"/>
      <c r="I44" s="215"/>
      <c r="J44" s="215"/>
      <c r="K44" s="11"/>
      <c r="L44" s="1"/>
      <c r="M44" s="484"/>
      <c r="N44" s="484"/>
      <c r="O44" s="484"/>
      <c r="P44" s="485"/>
      <c r="Q44" s="486"/>
      <c r="R44" s="487"/>
      <c r="S44" s="488"/>
    </row>
    <row r="45" spans="1:19" customFormat="1" ht="21.95" customHeight="1">
      <c r="A45" s="219" t="s">
        <v>26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484"/>
      <c r="N45" s="484"/>
      <c r="O45" s="484"/>
      <c r="P45" s="485"/>
      <c r="Q45" s="486"/>
      <c r="R45" s="487"/>
      <c r="S45" s="488"/>
    </row>
    <row r="46" spans="1:19" customFormat="1" ht="40.5" customHeight="1">
      <c r="A46" s="21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"/>
      <c r="M46" s="484"/>
      <c r="N46" s="484"/>
      <c r="O46" s="484"/>
      <c r="P46" s="485"/>
      <c r="Q46" s="486"/>
      <c r="R46" s="487"/>
      <c r="S46" s="488"/>
    </row>
    <row r="47" spans="1:19" customFormat="1" ht="21.95" customHeight="1">
      <c r="A47" s="21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"/>
      <c r="M47" s="484"/>
      <c r="N47" s="484"/>
      <c r="O47" s="484"/>
      <c r="P47" s="485"/>
      <c r="Q47" s="486"/>
      <c r="R47" s="487"/>
      <c r="S47" s="488"/>
    </row>
    <row r="48" spans="1:19" customFormat="1" ht="9.75" customHeight="1">
      <c r="A48" s="474"/>
      <c r="B48" s="11"/>
      <c r="C48" s="11"/>
      <c r="D48" s="11"/>
      <c r="E48" s="11"/>
      <c r="F48" s="1"/>
      <c r="G48" s="475"/>
      <c r="H48" s="475"/>
      <c r="I48" s="475"/>
      <c r="J48" s="475"/>
      <c r="K48" s="475"/>
      <c r="L48" s="475"/>
      <c r="M48" s="484"/>
      <c r="N48" s="484"/>
      <c r="O48" s="484"/>
      <c r="P48" s="485"/>
      <c r="Q48" s="486"/>
      <c r="R48" s="487"/>
      <c r="S48" s="488"/>
    </row>
    <row r="49" spans="1:13" customFormat="1" ht="45.75" hidden="1" customHeight="1">
      <c r="A49" s="172" t="s">
        <v>50</v>
      </c>
      <c r="B49" s="1003">
        <v>0</v>
      </c>
      <c r="C49" s="1004"/>
      <c r="D49" s="1004"/>
      <c r="E49" s="1005"/>
      <c r="F49" s="11"/>
      <c r="G49" s="11"/>
      <c r="H49" s="11"/>
      <c r="I49" s="11"/>
      <c r="J49" s="11"/>
      <c r="K49" s="11"/>
      <c r="L49" s="1"/>
    </row>
    <row r="50" spans="1:13" customFormat="1" ht="21.9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1"/>
    </row>
    <row r="51" spans="1:13" customFormat="1" ht="21.9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1"/>
    </row>
    <row r="52" spans="1:13" customFormat="1" ht="40.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1"/>
    </row>
    <row r="53" spans="1:13" customFormat="1" ht="21.9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1"/>
    </row>
    <row r="54" spans="1:13" customFormat="1" ht="21.9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1"/>
    </row>
    <row r="55" spans="1:13" customFormat="1" ht="40.5" customHeight="1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1"/>
    </row>
    <row r="56" spans="1:13" customFormat="1" ht="21.95" customHeight="1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1"/>
    </row>
    <row r="57" spans="1:13" customFormat="1" ht="21.95" customHeight="1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1"/>
    </row>
    <row r="58" spans="1:13" customFormat="1" ht="21.95" customHeight="1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1"/>
      <c r="M58" s="122"/>
    </row>
    <row r="59" spans="1:13" customFormat="1" ht="21.95" customHeight="1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3" customFormat="1" ht="21.95" customHeight="1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3" customFormat="1" ht="21.95" customHeight="1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3" customFormat="1" ht="21.95" customHeight="1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3" customFormat="1" ht="21.95" customHeight="1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3" customFormat="1" ht="21.95" customHeight="1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9" customFormat="1" ht="21.95" customHeight="1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9" customFormat="1" ht="21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9" customFormat="1" ht="21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9" customFormat="1" ht="21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9" customFormat="1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9" customForma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9" customForma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customForma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customForma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customForma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customFormat="1" ht="28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82" ht="32.25" customHeight="1"/>
    <row r="83" ht="108.75" customHeight="1"/>
    <row r="90" ht="106.5" customHeight="1"/>
  </sheetData>
  <sheetProtection formatCells="0" formatColumns="0" formatRows="0" insertColumns="0" insertRows="0" insertHyperlinks="0" deleteColumns="0" deleteRows="0" sort="0" autoFilter="0" pivotTables="0"/>
  <mergeCells count="34">
    <mergeCell ref="B49:E49"/>
    <mergeCell ref="S33:S35"/>
    <mergeCell ref="N28:N29"/>
    <mergeCell ref="R28:R29"/>
    <mergeCell ref="N31:N32"/>
    <mergeCell ref="R31:R32"/>
    <mergeCell ref="M33:O35"/>
    <mergeCell ref="P33:P35"/>
    <mergeCell ref="Q33:Q35"/>
    <mergeCell ref="R33:R35"/>
    <mergeCell ref="D2:G2"/>
    <mergeCell ref="A18:A30"/>
    <mergeCell ref="A37:C37"/>
    <mergeCell ref="E37:L37"/>
    <mergeCell ref="A31:L31"/>
    <mergeCell ref="A3:A4"/>
    <mergeCell ref="B3:B4"/>
    <mergeCell ref="C3:C4"/>
    <mergeCell ref="D3:D4"/>
    <mergeCell ref="E3:E4"/>
    <mergeCell ref="R4:R14"/>
    <mergeCell ref="A5:A17"/>
    <mergeCell ref="I3:J4"/>
    <mergeCell ref="K3:L3"/>
    <mergeCell ref="M3:N3"/>
    <mergeCell ref="M4:M16"/>
    <mergeCell ref="N4:N14"/>
    <mergeCell ref="N15:N16"/>
    <mergeCell ref="R15:R16"/>
    <mergeCell ref="M17:M32"/>
    <mergeCell ref="N17:N27"/>
    <mergeCell ref="R17:R27"/>
    <mergeCell ref="F3:F4"/>
    <mergeCell ref="G3:H3"/>
  </mergeCells>
  <conditionalFormatting sqref="G1:H1 G49:H1048576 G3:H30 H2">
    <cfRule type="cellIs" dxfId="3" priority="5" operator="equal">
      <formula>0</formula>
    </cfRule>
  </conditionalFormatting>
  <conditionalFormatting sqref="A48">
    <cfRule type="cellIs" dxfId="2" priority="4" operator="equal">
      <formula>0</formula>
    </cfRule>
  </conditionalFormatting>
  <conditionalFormatting sqref="A33:A36 G46:H47 G39:H44">
    <cfRule type="cellIs" dxfId="1" priority="2" operator="equal">
      <formula>0</formula>
    </cfRule>
  </conditionalFormatting>
  <conditionalFormatting sqref="A32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44" orientation="portrait" r:id="rId1"/>
  <headerFooter scaleWithDoc="0">
    <oddFooter>&amp;R&amp;"Arial Cyr,полужирный"&amp;8стр. &amp;P из &amp;N &amp;"Arial Cyr,обычный"&amp;A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tabColor rgb="FFC00000"/>
    <pageSetUpPr fitToPage="1"/>
  </sheetPr>
  <dimension ref="A1:S79"/>
  <sheetViews>
    <sheetView showGridLines="0" topLeftCell="B58" zoomScale="70" zoomScaleNormal="70" zoomScaleSheetLayoutView="25" zoomScalePageLayoutView="40" workbookViewId="0">
      <selection activeCell="E68" sqref="E68"/>
    </sheetView>
  </sheetViews>
  <sheetFormatPr defaultRowHeight="23.25"/>
  <cols>
    <col min="1" max="1" width="38.140625" style="1" customWidth="1"/>
    <col min="2" max="2" width="68.28515625" style="1" customWidth="1"/>
    <col min="3" max="3" width="23.7109375" style="1" customWidth="1"/>
    <col min="4" max="5" width="20.7109375" style="1" customWidth="1"/>
    <col min="6" max="6" width="22.5703125" style="1" customWidth="1"/>
    <col min="7" max="7" width="23.5703125" style="1" customWidth="1"/>
    <col min="8" max="8" width="25.5703125" style="1" customWidth="1"/>
    <col min="9" max="9" width="28.7109375" style="1" customWidth="1"/>
    <col min="10" max="10" width="11.5703125" style="703" hidden="1" customWidth="1"/>
    <col min="11" max="11" width="9.5703125" style="1" customWidth="1"/>
    <col min="12" max="12" width="4.28515625" style="1" customWidth="1"/>
    <col min="13" max="13" width="9.140625" style="1"/>
    <col min="14" max="14" width="11.5703125" style="1" bestFit="1" customWidth="1"/>
    <col min="15" max="18" width="9.140625" style="1"/>
    <col min="19" max="19" width="13.5703125" style="1" customWidth="1"/>
    <col min="20" max="16384" width="9.140625" style="1"/>
  </cols>
  <sheetData>
    <row r="1" spans="1:19" ht="75.75" customHeight="1">
      <c r="C1" s="209"/>
      <c r="D1" s="209"/>
      <c r="E1" s="209"/>
      <c r="F1" s="209"/>
      <c r="G1" s="209"/>
      <c r="H1" s="209"/>
      <c r="I1" s="209"/>
      <c r="J1" s="702"/>
      <c r="K1" s="44"/>
      <c r="L1" s="44"/>
      <c r="M1" s="44"/>
      <c r="N1" s="44"/>
      <c r="O1" s="44"/>
      <c r="P1" s="44"/>
      <c r="Q1" s="44"/>
      <c r="R1" s="44"/>
      <c r="S1" s="44"/>
    </row>
    <row r="2" spans="1:19" ht="33" customHeight="1">
      <c r="C2" s="325" t="s">
        <v>383</v>
      </c>
      <c r="D2" s="304"/>
      <c r="E2" s="304"/>
      <c r="F2" s="304"/>
      <c r="G2" s="304"/>
      <c r="H2" s="463"/>
      <c r="I2" s="711"/>
      <c r="K2" s="45"/>
      <c r="L2" s="11"/>
      <c r="M2" s="11"/>
      <c r="N2" s="11"/>
      <c r="O2" s="11"/>
      <c r="P2" s="11"/>
      <c r="Q2" s="11"/>
      <c r="R2" s="11"/>
      <c r="S2" s="11"/>
    </row>
    <row r="3" spans="1:19" ht="63.75" customHeight="1">
      <c r="A3" s="559" t="s">
        <v>200</v>
      </c>
      <c r="B3" s="1160" t="s">
        <v>189</v>
      </c>
      <c r="C3" s="1161"/>
      <c r="D3" s="559" t="s">
        <v>214</v>
      </c>
      <c r="E3" s="563" t="s">
        <v>408</v>
      </c>
      <c r="F3" s="559" t="s">
        <v>212</v>
      </c>
      <c r="G3" s="559" t="s">
        <v>82</v>
      </c>
      <c r="H3" s="561" t="s">
        <v>213</v>
      </c>
      <c r="I3" s="562" t="s">
        <v>127</v>
      </c>
      <c r="J3" s="700" t="s">
        <v>66</v>
      </c>
      <c r="K3" s="11"/>
      <c r="L3" s="11"/>
      <c r="M3" s="11"/>
      <c r="N3" s="11"/>
      <c r="O3" s="11"/>
      <c r="P3" s="11"/>
      <c r="Q3" s="11"/>
      <c r="R3" s="11"/>
    </row>
    <row r="4" spans="1:19" ht="20.25" customHeight="1">
      <c r="A4" s="1090"/>
      <c r="B4" s="1121" t="s">
        <v>491</v>
      </c>
      <c r="C4" s="1162" t="s">
        <v>37</v>
      </c>
      <c r="D4" s="808">
        <v>1</v>
      </c>
      <c r="E4" s="809"/>
      <c r="F4" s="810" t="s">
        <v>100</v>
      </c>
      <c r="G4" s="811">
        <v>2.71</v>
      </c>
      <c r="H4" s="1135">
        <v>96</v>
      </c>
      <c r="I4" s="812">
        <f t="shared" ref="I4:I35" si="0">ROUND(J4*(1-$B$74),2)</f>
        <v>338</v>
      </c>
      <c r="J4" s="700">
        <v>338</v>
      </c>
      <c r="K4" s="121"/>
      <c r="L4" s="11"/>
      <c r="M4" s="11"/>
      <c r="N4" s="606"/>
      <c r="O4" s="11"/>
      <c r="P4" s="11"/>
      <c r="Q4" s="11"/>
      <c r="R4" s="11"/>
    </row>
    <row r="5" spans="1:19" ht="20.25" customHeight="1">
      <c r="A5" s="1091"/>
      <c r="B5" s="1122"/>
      <c r="C5" s="1162"/>
      <c r="D5" s="813">
        <v>1.1000000000000001</v>
      </c>
      <c r="E5" s="814"/>
      <c r="F5" s="815">
        <v>2</v>
      </c>
      <c r="G5" s="816">
        <v>2.9810000000000003</v>
      </c>
      <c r="H5" s="1135"/>
      <c r="I5" s="817">
        <f t="shared" si="0"/>
        <v>403</v>
      </c>
      <c r="J5" s="700">
        <v>403</v>
      </c>
      <c r="K5" s="710"/>
      <c r="L5" s="11"/>
      <c r="M5" s="11"/>
      <c r="N5" s="606"/>
      <c r="O5" s="11"/>
      <c r="P5" s="11"/>
      <c r="Q5" s="11"/>
      <c r="R5" s="11"/>
    </row>
    <row r="6" spans="1:19">
      <c r="A6" s="1091"/>
      <c r="B6" s="1122"/>
      <c r="C6" s="1162"/>
      <c r="D6" s="818">
        <v>1.3</v>
      </c>
      <c r="E6" s="819"/>
      <c r="F6" s="820">
        <v>2</v>
      </c>
      <c r="G6" s="821">
        <v>3.5230000000000001</v>
      </c>
      <c r="H6" s="1135"/>
      <c r="I6" s="817">
        <f t="shared" si="0"/>
        <v>476</v>
      </c>
      <c r="J6" s="700">
        <v>476</v>
      </c>
      <c r="K6" s="710"/>
      <c r="L6" s="11"/>
      <c r="M6" s="11"/>
      <c r="N6" s="606"/>
      <c r="O6" s="11"/>
      <c r="P6" s="11"/>
      <c r="Q6" s="11"/>
      <c r="R6" s="11"/>
    </row>
    <row r="7" spans="1:19">
      <c r="A7" s="1091"/>
      <c r="B7" s="1122"/>
      <c r="C7" s="1162"/>
      <c r="D7" s="818">
        <v>1.5</v>
      </c>
      <c r="E7" s="819"/>
      <c r="F7" s="820" t="s">
        <v>100</v>
      </c>
      <c r="G7" s="821">
        <v>4.0649999999999995</v>
      </c>
      <c r="H7" s="1135"/>
      <c r="I7" s="817">
        <f t="shared" si="0"/>
        <v>465</v>
      </c>
      <c r="J7" s="700">
        <v>465</v>
      </c>
      <c r="K7" s="710"/>
      <c r="L7" s="11"/>
      <c r="M7" s="11"/>
      <c r="N7" s="606"/>
      <c r="O7" s="11"/>
      <c r="P7" s="11"/>
      <c r="Q7" s="11"/>
      <c r="R7" s="11"/>
    </row>
    <row r="8" spans="1:19">
      <c r="A8" s="1091"/>
      <c r="B8" s="1122"/>
      <c r="C8" s="1162"/>
      <c r="D8" s="818">
        <v>1.5</v>
      </c>
      <c r="E8" s="819">
        <v>1</v>
      </c>
      <c r="F8" s="820">
        <v>2</v>
      </c>
      <c r="G8" s="821">
        <v>4.0649999999999995</v>
      </c>
      <c r="H8" s="1135"/>
      <c r="I8" s="817">
        <f t="shared" si="0"/>
        <v>507</v>
      </c>
      <c r="J8" s="700">
        <v>507</v>
      </c>
      <c r="K8" s="710"/>
      <c r="L8" s="11"/>
      <c r="M8" s="11"/>
      <c r="N8" s="606"/>
      <c r="O8" s="11"/>
      <c r="P8" s="11"/>
      <c r="Q8" s="11"/>
      <c r="R8" s="11"/>
    </row>
    <row r="9" spans="1:19">
      <c r="A9" s="1091"/>
      <c r="B9" s="1122"/>
      <c r="C9" s="1162"/>
      <c r="D9" s="818">
        <v>1.7</v>
      </c>
      <c r="E9" s="819"/>
      <c r="F9" s="820">
        <v>2</v>
      </c>
      <c r="G9" s="821">
        <v>4.6070000000000002</v>
      </c>
      <c r="H9" s="1135"/>
      <c r="I9" s="817">
        <f t="shared" si="0"/>
        <v>575</v>
      </c>
      <c r="J9" s="700">
        <v>575</v>
      </c>
      <c r="K9" s="710"/>
      <c r="L9" s="11"/>
      <c r="M9" s="11"/>
      <c r="N9" s="606"/>
      <c r="O9" s="11"/>
      <c r="P9" s="11"/>
      <c r="Q9" s="11"/>
      <c r="R9" s="11"/>
    </row>
    <row r="10" spans="1:19">
      <c r="A10" s="1091"/>
      <c r="B10" s="1122"/>
      <c r="C10" s="1162"/>
      <c r="D10" s="818">
        <v>1.9</v>
      </c>
      <c r="E10" s="819"/>
      <c r="F10" s="820">
        <v>2</v>
      </c>
      <c r="G10" s="821">
        <v>5.149</v>
      </c>
      <c r="H10" s="1135"/>
      <c r="I10" s="817">
        <f t="shared" si="0"/>
        <v>615</v>
      </c>
      <c r="J10" s="700">
        <v>615</v>
      </c>
      <c r="K10" s="710"/>
      <c r="L10" s="11"/>
      <c r="M10" s="11"/>
      <c r="N10" s="606"/>
      <c r="O10" s="11"/>
      <c r="P10" s="11"/>
      <c r="Q10" s="11"/>
      <c r="R10" s="11"/>
    </row>
    <row r="11" spans="1:19">
      <c r="A11" s="1091"/>
      <c r="B11" s="1122"/>
      <c r="C11" s="1162"/>
      <c r="D11" s="818">
        <v>2</v>
      </c>
      <c r="E11" s="819"/>
      <c r="F11" s="820" t="s">
        <v>100</v>
      </c>
      <c r="G11" s="821">
        <v>5.42</v>
      </c>
      <c r="H11" s="1135"/>
      <c r="I11" s="817">
        <f t="shared" si="0"/>
        <v>592</v>
      </c>
      <c r="J11" s="700">
        <v>592</v>
      </c>
      <c r="K11" s="710"/>
      <c r="L11" s="11"/>
      <c r="M11" s="11"/>
      <c r="N11" s="606"/>
      <c r="O11" s="11"/>
      <c r="P11" s="11"/>
      <c r="Q11" s="11"/>
      <c r="R11" s="11"/>
    </row>
    <row r="12" spans="1:19">
      <c r="A12" s="1091"/>
      <c r="B12" s="1122"/>
      <c r="C12" s="1162"/>
      <c r="D12" s="818">
        <v>2</v>
      </c>
      <c r="E12" s="819">
        <v>1</v>
      </c>
      <c r="F12" s="820">
        <v>3</v>
      </c>
      <c r="G12" s="821">
        <v>5.42</v>
      </c>
      <c r="H12" s="1135"/>
      <c r="I12" s="817">
        <f t="shared" si="0"/>
        <v>647</v>
      </c>
      <c r="J12" s="700">
        <v>647</v>
      </c>
      <c r="K12" s="710"/>
      <c r="L12" s="11"/>
      <c r="M12" s="11"/>
      <c r="N12" s="606"/>
      <c r="O12" s="11"/>
      <c r="P12" s="11"/>
      <c r="Q12" s="11"/>
      <c r="R12" s="11"/>
    </row>
    <row r="13" spans="1:19">
      <c r="A13" s="1091"/>
      <c r="B13" s="1122"/>
      <c r="C13" s="1162"/>
      <c r="D13" s="818">
        <v>2.2000000000000002</v>
      </c>
      <c r="E13" s="819">
        <v>1</v>
      </c>
      <c r="F13" s="820">
        <v>3</v>
      </c>
      <c r="G13" s="821">
        <v>5.9620000000000006</v>
      </c>
      <c r="H13" s="1135"/>
      <c r="I13" s="817">
        <f t="shared" si="0"/>
        <v>712</v>
      </c>
      <c r="J13" s="700">
        <v>712</v>
      </c>
      <c r="K13" s="710"/>
      <c r="L13" s="11"/>
      <c r="M13" s="11"/>
      <c r="N13" s="606"/>
      <c r="O13" s="11"/>
      <c r="P13" s="11"/>
      <c r="Q13" s="11"/>
      <c r="R13" s="11"/>
    </row>
    <row r="14" spans="1:19">
      <c r="A14" s="1091"/>
      <c r="B14" s="1122"/>
      <c r="C14" s="1162"/>
      <c r="D14" s="818">
        <v>2.4</v>
      </c>
      <c r="E14" s="819"/>
      <c r="F14" s="820">
        <v>3</v>
      </c>
      <c r="G14" s="821">
        <v>6.5039999999999996</v>
      </c>
      <c r="H14" s="1135"/>
      <c r="I14" s="817">
        <f t="shared" si="0"/>
        <v>773</v>
      </c>
      <c r="J14" s="700">
        <v>773</v>
      </c>
      <c r="K14" s="710"/>
      <c r="L14" s="11"/>
      <c r="M14" s="11"/>
      <c r="N14" s="606"/>
      <c r="O14" s="11"/>
      <c r="P14" s="11"/>
      <c r="Q14" s="11"/>
      <c r="R14" s="11"/>
    </row>
    <row r="15" spans="1:19">
      <c r="A15" s="1091"/>
      <c r="B15" s="1122"/>
      <c r="C15" s="1162"/>
      <c r="D15" s="818">
        <v>2.5</v>
      </c>
      <c r="E15" s="819"/>
      <c r="F15" s="820" t="s">
        <v>100</v>
      </c>
      <c r="G15" s="821">
        <v>6.7750000000000004</v>
      </c>
      <c r="H15" s="1135"/>
      <c r="I15" s="817">
        <f t="shared" si="0"/>
        <v>704</v>
      </c>
      <c r="J15" s="700">
        <v>704</v>
      </c>
      <c r="K15" s="710"/>
      <c r="L15" s="11"/>
      <c r="M15" s="11"/>
      <c r="N15" s="606"/>
      <c r="O15" s="11"/>
      <c r="P15" s="11"/>
      <c r="Q15" s="11"/>
      <c r="R15" s="11"/>
    </row>
    <row r="16" spans="1:19">
      <c r="A16" s="1091"/>
      <c r="B16" s="1122"/>
      <c r="C16" s="1162"/>
      <c r="D16" s="818">
        <v>2.5</v>
      </c>
      <c r="E16" s="819">
        <v>1</v>
      </c>
      <c r="F16" s="820">
        <v>4</v>
      </c>
      <c r="G16" s="821">
        <v>6.7750000000000004</v>
      </c>
      <c r="H16" s="1135"/>
      <c r="I16" s="817">
        <f t="shared" si="0"/>
        <v>777</v>
      </c>
      <c r="J16" s="700">
        <v>777</v>
      </c>
      <c r="K16" s="710"/>
      <c r="L16" s="11"/>
      <c r="M16" s="11"/>
      <c r="N16" s="606"/>
      <c r="O16" s="11"/>
      <c r="P16" s="11"/>
      <c r="Q16" s="11"/>
      <c r="R16" s="11"/>
    </row>
    <row r="17" spans="1:18" ht="23.25" customHeight="1">
      <c r="A17" s="1091"/>
      <c r="B17" s="822"/>
      <c r="C17" s="1162"/>
      <c r="D17" s="818">
        <v>3</v>
      </c>
      <c r="E17" s="819"/>
      <c r="F17" s="820" t="s">
        <v>100</v>
      </c>
      <c r="G17" s="821">
        <v>8.129999999999999</v>
      </c>
      <c r="H17" s="1135"/>
      <c r="I17" s="817">
        <f t="shared" si="0"/>
        <v>845</v>
      </c>
      <c r="J17" s="700">
        <v>845</v>
      </c>
      <c r="K17" s="710"/>
      <c r="L17" s="11"/>
      <c r="M17" s="11"/>
      <c r="N17" s="606"/>
      <c r="O17" s="11"/>
      <c r="P17" s="11"/>
      <c r="Q17" s="11"/>
      <c r="R17" s="11"/>
    </row>
    <row r="18" spans="1:18">
      <c r="A18" s="1091"/>
      <c r="B18" s="1123" t="s">
        <v>410</v>
      </c>
      <c r="C18" s="1162"/>
      <c r="D18" s="818">
        <v>3</v>
      </c>
      <c r="E18" s="819">
        <v>1</v>
      </c>
      <c r="F18" s="820">
        <v>4</v>
      </c>
      <c r="G18" s="821">
        <v>8.129999999999999</v>
      </c>
      <c r="H18" s="1135"/>
      <c r="I18" s="817">
        <f t="shared" si="0"/>
        <v>930</v>
      </c>
      <c r="J18" s="700">
        <v>930</v>
      </c>
      <c r="K18" s="710"/>
      <c r="L18" s="11"/>
      <c r="M18" s="11"/>
      <c r="N18" s="606"/>
      <c r="O18" s="11"/>
      <c r="P18" s="11"/>
      <c r="Q18" s="11"/>
      <c r="R18" s="11"/>
    </row>
    <row r="19" spans="1:18">
      <c r="A19" s="1091"/>
      <c r="B19" s="1123"/>
      <c r="C19" s="1162"/>
      <c r="D19" s="823">
        <v>4</v>
      </c>
      <c r="E19" s="824"/>
      <c r="F19" s="825">
        <v>6</v>
      </c>
      <c r="G19" s="826">
        <v>10.84</v>
      </c>
      <c r="H19" s="1135"/>
      <c r="I19" s="827">
        <f t="shared" si="0"/>
        <v>1239</v>
      </c>
      <c r="J19" s="700">
        <v>1239</v>
      </c>
      <c r="K19" s="710"/>
      <c r="L19" s="11"/>
      <c r="M19" s="11"/>
      <c r="N19" s="606"/>
      <c r="O19" s="11"/>
      <c r="P19" s="11"/>
      <c r="Q19" s="11"/>
      <c r="R19" s="11"/>
    </row>
    <row r="20" spans="1:18">
      <c r="A20" s="1091"/>
      <c r="B20" s="1123"/>
      <c r="C20" s="1155" t="s">
        <v>14</v>
      </c>
      <c r="D20" s="808">
        <v>3</v>
      </c>
      <c r="E20" s="809"/>
      <c r="F20" s="810" t="s">
        <v>100</v>
      </c>
      <c r="G20" s="811">
        <v>11.64</v>
      </c>
      <c r="H20" s="1144">
        <v>64</v>
      </c>
      <c r="I20" s="828">
        <f t="shared" si="0"/>
        <v>1226</v>
      </c>
      <c r="J20" s="700">
        <v>1226</v>
      </c>
      <c r="K20" s="710"/>
      <c r="L20" s="11"/>
      <c r="M20" s="11"/>
      <c r="N20" s="11"/>
      <c r="O20" s="11"/>
      <c r="P20" s="11"/>
      <c r="Q20" s="11"/>
      <c r="R20" s="11"/>
    </row>
    <row r="21" spans="1:18">
      <c r="A21" s="1091"/>
      <c r="B21" s="1123"/>
      <c r="C21" s="1156"/>
      <c r="D21" s="818">
        <v>4</v>
      </c>
      <c r="E21" s="819"/>
      <c r="F21" s="820" t="s">
        <v>100</v>
      </c>
      <c r="G21" s="821">
        <v>15.52</v>
      </c>
      <c r="H21" s="1145"/>
      <c r="I21" s="829">
        <f t="shared" si="0"/>
        <v>1634</v>
      </c>
      <c r="J21" s="700">
        <v>1634</v>
      </c>
      <c r="K21" s="710"/>
      <c r="L21" s="11"/>
      <c r="M21" s="11"/>
      <c r="N21" s="11"/>
      <c r="O21" s="11"/>
      <c r="P21" s="11"/>
      <c r="Q21" s="11"/>
      <c r="R21" s="11"/>
    </row>
    <row r="22" spans="1:18">
      <c r="A22" s="1091"/>
      <c r="B22" s="1123"/>
      <c r="C22" s="1156"/>
      <c r="D22" s="818">
        <v>4</v>
      </c>
      <c r="E22" s="819">
        <v>2</v>
      </c>
      <c r="F22" s="820">
        <v>6</v>
      </c>
      <c r="G22" s="821">
        <v>15.52</v>
      </c>
      <c r="H22" s="1145"/>
      <c r="I22" s="829">
        <f t="shared" si="0"/>
        <v>1798</v>
      </c>
      <c r="J22" s="700">
        <v>1798</v>
      </c>
      <c r="K22" s="710"/>
      <c r="L22" s="11"/>
      <c r="M22" s="11"/>
      <c r="N22" s="11"/>
      <c r="O22" s="11"/>
      <c r="P22" s="11"/>
      <c r="Q22" s="11"/>
      <c r="R22" s="11"/>
    </row>
    <row r="23" spans="1:18" ht="24" thickBot="1">
      <c r="A23" s="1091"/>
      <c r="B23" s="1123"/>
      <c r="C23" s="1157"/>
      <c r="D23" s="823">
        <v>5</v>
      </c>
      <c r="E23" s="824">
        <v>2</v>
      </c>
      <c r="F23" s="825">
        <v>8</v>
      </c>
      <c r="G23" s="826">
        <v>19.399999999999999</v>
      </c>
      <c r="H23" s="1146"/>
      <c r="I23" s="827">
        <f t="shared" si="0"/>
        <v>2247</v>
      </c>
      <c r="J23" s="700">
        <v>2247</v>
      </c>
      <c r="K23" s="710"/>
      <c r="L23" s="11"/>
      <c r="M23" s="11"/>
      <c r="N23" s="11"/>
      <c r="O23" s="11"/>
      <c r="P23" s="11"/>
      <c r="Q23" s="11"/>
      <c r="R23" s="11"/>
    </row>
    <row r="24" spans="1:18" ht="23.25" customHeight="1">
      <c r="A24" s="1115"/>
      <c r="B24" s="1124" t="s">
        <v>678</v>
      </c>
      <c r="C24" s="1163" t="s">
        <v>62</v>
      </c>
      <c r="D24" s="317">
        <v>4</v>
      </c>
      <c r="E24" s="318">
        <v>2</v>
      </c>
      <c r="F24" s="319">
        <v>6</v>
      </c>
      <c r="G24" s="320">
        <v>16.72</v>
      </c>
      <c r="H24" s="1134">
        <v>72</v>
      </c>
      <c r="I24" s="321">
        <f t="shared" si="0"/>
        <v>2787</v>
      </c>
      <c r="J24" s="700">
        <v>2787</v>
      </c>
      <c r="K24" s="710"/>
      <c r="L24" s="11"/>
      <c r="M24" s="11"/>
      <c r="N24" s="11"/>
      <c r="O24" s="11"/>
      <c r="P24" s="11"/>
      <c r="Q24" s="11"/>
      <c r="R24" s="11"/>
    </row>
    <row r="25" spans="1:18" ht="24" thickBot="1">
      <c r="A25" s="1115"/>
      <c r="B25" s="1125"/>
      <c r="C25" s="1163"/>
      <c r="D25" s="834">
        <v>5</v>
      </c>
      <c r="E25" s="835">
        <v>2</v>
      </c>
      <c r="F25" s="836">
        <v>8</v>
      </c>
      <c r="G25" s="837">
        <v>20.9</v>
      </c>
      <c r="H25" s="1134"/>
      <c r="I25" s="838">
        <f t="shared" si="0"/>
        <v>3483</v>
      </c>
      <c r="J25" s="700">
        <v>3483</v>
      </c>
      <c r="K25" s="710"/>
      <c r="L25" s="11"/>
      <c r="M25" s="11"/>
      <c r="N25" s="11"/>
      <c r="O25" s="11"/>
      <c r="P25" s="11"/>
      <c r="Q25" s="11"/>
      <c r="R25" s="11"/>
    </row>
    <row r="26" spans="1:18" ht="20.25" customHeight="1">
      <c r="A26" s="1115"/>
      <c r="B26" s="1125"/>
      <c r="C26" s="1147" t="s">
        <v>37</v>
      </c>
      <c r="D26" s="839">
        <v>1</v>
      </c>
      <c r="E26" s="840">
        <v>2</v>
      </c>
      <c r="F26" s="841" t="s">
        <v>100</v>
      </c>
      <c r="G26" s="842">
        <v>2.71</v>
      </c>
      <c r="H26" s="920"/>
      <c r="I26" s="843">
        <f t="shared" si="0"/>
        <v>450</v>
      </c>
      <c r="J26" s="700">
        <v>450</v>
      </c>
      <c r="K26" s="710"/>
      <c r="L26" s="11"/>
      <c r="M26" s="11"/>
      <c r="N26" s="606"/>
      <c r="O26" s="11"/>
      <c r="P26" s="11"/>
      <c r="Q26" s="11"/>
      <c r="R26" s="11"/>
    </row>
    <row r="27" spans="1:18" ht="20.25" customHeight="1">
      <c r="A27" s="1115"/>
      <c r="B27" s="1125"/>
      <c r="C27" s="1148"/>
      <c r="D27" s="153">
        <v>1.1000000000000001</v>
      </c>
      <c r="E27" s="274">
        <v>2</v>
      </c>
      <c r="F27" s="225">
        <v>2</v>
      </c>
      <c r="G27" s="250">
        <v>2.9810000000000003</v>
      </c>
      <c r="H27" s="914"/>
      <c r="I27" s="844">
        <f t="shared" si="0"/>
        <v>525</v>
      </c>
      <c r="J27" s="700">
        <v>525</v>
      </c>
      <c r="K27" s="710"/>
      <c r="L27" s="11"/>
      <c r="M27" s="11"/>
      <c r="N27" s="606"/>
      <c r="O27" s="11"/>
      <c r="P27" s="11"/>
      <c r="Q27" s="11"/>
      <c r="R27" s="11"/>
    </row>
    <row r="28" spans="1:18">
      <c r="A28" s="1115"/>
      <c r="B28" s="1125"/>
      <c r="C28" s="1149"/>
      <c r="D28" s="111">
        <v>1.3</v>
      </c>
      <c r="E28" s="275"/>
      <c r="F28" s="223">
        <v>2</v>
      </c>
      <c r="G28" s="124">
        <v>3.5230000000000001</v>
      </c>
      <c r="H28" s="914"/>
      <c r="I28" s="845">
        <f t="shared" si="0"/>
        <v>621</v>
      </c>
      <c r="J28" s="700">
        <v>621</v>
      </c>
      <c r="K28" s="710"/>
      <c r="L28" s="11"/>
      <c r="M28" s="11"/>
      <c r="N28" s="606"/>
      <c r="O28" s="11"/>
      <c r="P28" s="11"/>
      <c r="Q28" s="11"/>
      <c r="R28" s="11"/>
    </row>
    <row r="29" spans="1:18">
      <c r="A29" s="1115"/>
      <c r="B29" s="1125"/>
      <c r="C29" s="1149"/>
      <c r="D29" s="111">
        <v>1.5</v>
      </c>
      <c r="E29" s="275"/>
      <c r="F29" s="223" t="s">
        <v>100</v>
      </c>
      <c r="G29" s="124">
        <v>4.0649999999999995</v>
      </c>
      <c r="H29" s="914"/>
      <c r="I29" s="845">
        <f t="shared" si="0"/>
        <v>655</v>
      </c>
      <c r="J29" s="700">
        <v>655</v>
      </c>
      <c r="K29" s="710"/>
      <c r="L29" s="11"/>
      <c r="M29" s="11"/>
      <c r="N29" s="606"/>
      <c r="O29" s="11"/>
      <c r="P29" s="11"/>
      <c r="Q29" s="11"/>
      <c r="R29" s="11"/>
    </row>
    <row r="30" spans="1:18">
      <c r="A30" s="1115"/>
      <c r="B30" s="1125"/>
      <c r="C30" s="1149"/>
      <c r="D30" s="111">
        <v>1.5</v>
      </c>
      <c r="E30" s="275">
        <v>2</v>
      </c>
      <c r="F30" s="223">
        <v>2</v>
      </c>
      <c r="G30" s="124">
        <v>4.0649999999999995</v>
      </c>
      <c r="H30" s="914">
        <v>96</v>
      </c>
      <c r="I30" s="845">
        <f t="shared" si="0"/>
        <v>697</v>
      </c>
      <c r="J30" s="700">
        <v>697</v>
      </c>
      <c r="K30" s="710"/>
      <c r="L30" s="11"/>
      <c r="M30" s="11"/>
      <c r="N30" s="606"/>
      <c r="O30" s="11"/>
      <c r="P30" s="11"/>
      <c r="Q30" s="11"/>
      <c r="R30" s="11"/>
    </row>
    <row r="31" spans="1:18">
      <c r="A31" s="1115"/>
      <c r="B31" s="1125"/>
      <c r="C31" s="1149"/>
      <c r="D31" s="111">
        <v>1.7</v>
      </c>
      <c r="E31" s="275"/>
      <c r="F31" s="223">
        <v>2</v>
      </c>
      <c r="G31" s="124">
        <v>4.6070000000000002</v>
      </c>
      <c r="H31" s="914"/>
      <c r="I31" s="845">
        <f t="shared" si="0"/>
        <v>790</v>
      </c>
      <c r="J31" s="700">
        <v>790</v>
      </c>
      <c r="K31" s="710"/>
      <c r="L31" s="11"/>
      <c r="M31" s="11"/>
      <c r="N31" s="606"/>
      <c r="O31" s="11"/>
      <c r="P31" s="11"/>
      <c r="Q31" s="11"/>
      <c r="R31" s="11"/>
    </row>
    <row r="32" spans="1:18">
      <c r="A32" s="1115"/>
      <c r="B32" s="1125"/>
      <c r="C32" s="1149"/>
      <c r="D32" s="111">
        <v>1.9</v>
      </c>
      <c r="E32" s="275"/>
      <c r="F32" s="223">
        <v>2</v>
      </c>
      <c r="G32" s="124">
        <v>5.149</v>
      </c>
      <c r="H32" s="914"/>
      <c r="I32" s="845">
        <f t="shared" si="0"/>
        <v>881</v>
      </c>
      <c r="J32" s="700">
        <v>881</v>
      </c>
      <c r="K32" s="710"/>
      <c r="L32" s="11"/>
      <c r="M32" s="11"/>
      <c r="N32" s="606"/>
      <c r="O32" s="11"/>
      <c r="P32" s="11"/>
      <c r="Q32" s="11"/>
      <c r="R32" s="11"/>
    </row>
    <row r="33" spans="1:18">
      <c r="A33" s="1115"/>
      <c r="B33" s="1125"/>
      <c r="C33" s="1149"/>
      <c r="D33" s="286">
        <v>2</v>
      </c>
      <c r="E33" s="277">
        <v>2.2999999999999998</v>
      </c>
      <c r="F33" s="239" t="s">
        <v>100</v>
      </c>
      <c r="G33" s="252">
        <v>5.42</v>
      </c>
      <c r="H33" s="914"/>
      <c r="I33" s="846">
        <f t="shared" si="0"/>
        <v>845</v>
      </c>
      <c r="J33" s="700">
        <v>845</v>
      </c>
      <c r="K33" s="710"/>
      <c r="L33" s="11"/>
      <c r="M33" s="11"/>
      <c r="N33" s="606"/>
      <c r="O33" s="11"/>
      <c r="P33" s="11"/>
      <c r="Q33" s="11"/>
      <c r="R33" s="11"/>
    </row>
    <row r="34" spans="1:18" ht="27.75">
      <c r="A34" s="1115"/>
      <c r="B34" s="1125"/>
      <c r="C34" s="1149"/>
      <c r="D34" s="738">
        <v>2</v>
      </c>
      <c r="E34" s="830">
        <v>2.2999999999999998</v>
      </c>
      <c r="F34" s="755">
        <v>3</v>
      </c>
      <c r="G34" s="756">
        <v>5.42</v>
      </c>
      <c r="H34" s="933">
        <v>96</v>
      </c>
      <c r="I34" s="758">
        <f t="shared" si="0"/>
        <v>900</v>
      </c>
      <c r="J34" s="700">
        <v>900</v>
      </c>
      <c r="K34" s="710"/>
      <c r="L34" s="11"/>
      <c r="M34" s="11"/>
      <c r="N34" s="606"/>
      <c r="O34" s="11"/>
      <c r="P34" s="11"/>
      <c r="Q34" s="11"/>
      <c r="R34" s="11"/>
    </row>
    <row r="35" spans="1:18" ht="27.75">
      <c r="A35" s="1115"/>
      <c r="B35" s="1125"/>
      <c r="C35" s="1149"/>
      <c r="D35" s="925">
        <v>2.2000000000000002</v>
      </c>
      <c r="E35" s="926">
        <v>2.2999999999999998</v>
      </c>
      <c r="F35" s="875">
        <v>3</v>
      </c>
      <c r="G35" s="877">
        <v>5.9620000000000006</v>
      </c>
      <c r="H35" s="932">
        <v>96</v>
      </c>
      <c r="I35" s="878">
        <f t="shared" si="0"/>
        <v>992</v>
      </c>
      <c r="J35" s="700">
        <v>992</v>
      </c>
      <c r="K35" s="710"/>
      <c r="L35" s="11"/>
      <c r="M35" s="11"/>
      <c r="N35" s="606"/>
      <c r="O35" s="11"/>
      <c r="P35" s="11"/>
      <c r="Q35" s="11"/>
      <c r="R35" s="11"/>
    </row>
    <row r="36" spans="1:18">
      <c r="A36" s="1115"/>
      <c r="B36" s="1125"/>
      <c r="C36" s="1149"/>
      <c r="D36" s="153">
        <v>2.4</v>
      </c>
      <c r="E36" s="274"/>
      <c r="F36" s="225">
        <v>3</v>
      </c>
      <c r="G36" s="250">
        <v>6.5039999999999996</v>
      </c>
      <c r="H36" s="914"/>
      <c r="I36" s="844">
        <f t="shared" ref="I36:I60" si="1">ROUND(J36*(1-$B$74),2)</f>
        <v>1048</v>
      </c>
      <c r="J36" s="700">
        <v>1048</v>
      </c>
      <c r="K36" s="710"/>
      <c r="L36" s="11"/>
      <c r="M36" s="11"/>
      <c r="N36" s="606"/>
      <c r="O36" s="11"/>
      <c r="P36" s="11"/>
      <c r="Q36" s="11"/>
      <c r="R36" s="11"/>
    </row>
    <row r="37" spans="1:18">
      <c r="A37" s="1115"/>
      <c r="B37" s="1125"/>
      <c r="C37" s="1149"/>
      <c r="D37" s="286">
        <v>2.5</v>
      </c>
      <c r="E37" s="277" t="s">
        <v>510</v>
      </c>
      <c r="F37" s="239" t="s">
        <v>100</v>
      </c>
      <c r="G37" s="252">
        <v>6.7750000000000004</v>
      </c>
      <c r="H37" s="914"/>
      <c r="I37" s="846">
        <f t="shared" si="1"/>
        <v>1020</v>
      </c>
      <c r="J37" s="700">
        <v>1020</v>
      </c>
      <c r="K37" s="710"/>
      <c r="L37" s="11"/>
      <c r="M37" s="11"/>
      <c r="N37" s="606"/>
      <c r="O37" s="11"/>
      <c r="P37" s="11"/>
      <c r="Q37" s="11"/>
      <c r="R37" s="11"/>
    </row>
    <row r="38" spans="1:18" ht="27.75">
      <c r="A38" s="1115"/>
      <c r="B38" s="1125"/>
      <c r="C38" s="1149"/>
      <c r="D38" s="738">
        <v>2.5</v>
      </c>
      <c r="E38" s="830" t="s">
        <v>409</v>
      </c>
      <c r="F38" s="755">
        <v>4</v>
      </c>
      <c r="G38" s="756">
        <v>6.7750000000000004</v>
      </c>
      <c r="H38" s="933">
        <v>96</v>
      </c>
      <c r="I38" s="758">
        <f t="shared" si="1"/>
        <v>1091</v>
      </c>
      <c r="J38" s="700">
        <v>1091</v>
      </c>
      <c r="K38" s="710"/>
      <c r="L38" s="11"/>
      <c r="M38" s="11"/>
      <c r="N38" s="606"/>
      <c r="O38" s="11"/>
      <c r="P38" s="11"/>
      <c r="Q38" s="11"/>
      <c r="R38" s="11"/>
    </row>
    <row r="39" spans="1:18">
      <c r="A39" s="1115"/>
      <c r="B39" s="1125"/>
      <c r="C39" s="1149"/>
      <c r="D39" s="831">
        <v>3</v>
      </c>
      <c r="E39" s="832" t="s">
        <v>409</v>
      </c>
      <c r="F39" s="922" t="s">
        <v>100</v>
      </c>
      <c r="G39" s="833">
        <v>8.129999999999999</v>
      </c>
      <c r="H39" s="914"/>
      <c r="I39" s="847">
        <f t="shared" si="1"/>
        <v>1225</v>
      </c>
      <c r="J39" s="700">
        <v>1225</v>
      </c>
      <c r="K39" s="710"/>
      <c r="L39" s="11"/>
      <c r="M39" s="11"/>
      <c r="N39" s="606"/>
      <c r="O39" s="11"/>
      <c r="P39" s="11"/>
      <c r="Q39" s="11"/>
      <c r="R39" s="11"/>
    </row>
    <row r="40" spans="1:18" ht="27.75">
      <c r="A40" s="1115"/>
      <c r="B40" s="1125"/>
      <c r="C40" s="1149"/>
      <c r="D40" s="738">
        <v>3</v>
      </c>
      <c r="E40" s="830">
        <v>2.5</v>
      </c>
      <c r="F40" s="755">
        <v>4</v>
      </c>
      <c r="G40" s="756">
        <v>8.129999999999999</v>
      </c>
      <c r="H40" s="933">
        <v>96</v>
      </c>
      <c r="I40" s="758">
        <f t="shared" si="1"/>
        <v>1309</v>
      </c>
      <c r="J40" s="700">
        <v>1309</v>
      </c>
      <c r="K40" s="710"/>
      <c r="L40" s="11"/>
      <c r="M40" s="11"/>
      <c r="N40" s="606"/>
      <c r="O40" s="11"/>
      <c r="P40" s="11"/>
      <c r="Q40" s="11"/>
      <c r="R40" s="11"/>
    </row>
    <row r="41" spans="1:18" ht="27.75">
      <c r="A41" s="1115"/>
      <c r="B41" s="854"/>
      <c r="C41" s="1150"/>
      <c r="D41" s="931">
        <v>4</v>
      </c>
      <c r="E41" s="928">
        <v>2</v>
      </c>
      <c r="F41" s="929">
        <v>6</v>
      </c>
      <c r="G41" s="930">
        <v>10.84</v>
      </c>
      <c r="H41" s="932">
        <v>96</v>
      </c>
      <c r="I41" s="927">
        <f t="shared" si="1"/>
        <v>1703</v>
      </c>
      <c r="J41" s="700">
        <v>1703</v>
      </c>
      <c r="K41" s="710"/>
      <c r="L41" s="11"/>
      <c r="M41" s="11"/>
      <c r="N41" s="606"/>
      <c r="O41" s="11"/>
      <c r="P41" s="11"/>
      <c r="Q41" s="11"/>
      <c r="R41" s="11"/>
    </row>
    <row r="42" spans="1:18">
      <c r="A42" s="1115"/>
      <c r="B42" s="1126" t="s">
        <v>411</v>
      </c>
      <c r="C42" s="1158" t="s">
        <v>64</v>
      </c>
      <c r="D42" s="281">
        <v>4</v>
      </c>
      <c r="E42" s="278"/>
      <c r="F42" s="222">
        <v>6</v>
      </c>
      <c r="G42" s="238">
        <v>19.2</v>
      </c>
      <c r="H42" s="1022">
        <v>54</v>
      </c>
      <c r="I42" s="848">
        <f t="shared" si="1"/>
        <v>3042</v>
      </c>
      <c r="J42" s="700">
        <v>3042</v>
      </c>
      <c r="K42" s="710"/>
      <c r="L42" s="11"/>
      <c r="M42" s="11"/>
      <c r="N42" s="11"/>
      <c r="O42" s="11"/>
      <c r="P42" s="11"/>
      <c r="Q42" s="11"/>
      <c r="R42" s="11"/>
    </row>
    <row r="43" spans="1:18">
      <c r="A43" s="1115"/>
      <c r="B43" s="1126"/>
      <c r="C43" s="1159"/>
      <c r="D43" s="282">
        <v>5</v>
      </c>
      <c r="E43" s="276"/>
      <c r="F43" s="224">
        <v>8</v>
      </c>
      <c r="G43" s="161">
        <v>24</v>
      </c>
      <c r="H43" s="1075"/>
      <c r="I43" s="849">
        <f t="shared" si="1"/>
        <v>3883</v>
      </c>
      <c r="J43" s="700">
        <v>3883</v>
      </c>
      <c r="K43" s="710"/>
      <c r="L43" s="11"/>
      <c r="M43" s="11"/>
      <c r="N43" s="11"/>
      <c r="O43" s="11"/>
      <c r="P43" s="11"/>
      <c r="Q43" s="11"/>
      <c r="R43" s="11"/>
    </row>
    <row r="44" spans="1:18">
      <c r="A44" s="1115"/>
      <c r="B44" s="1126"/>
      <c r="C44" s="1142" t="s">
        <v>63</v>
      </c>
      <c r="D44" s="283">
        <v>4</v>
      </c>
      <c r="E44" s="279"/>
      <c r="F44" s="225">
        <v>6</v>
      </c>
      <c r="G44" s="253">
        <v>28.2</v>
      </c>
      <c r="H44" s="1022">
        <v>54</v>
      </c>
      <c r="I44" s="850">
        <f t="shared" si="1"/>
        <v>4547</v>
      </c>
      <c r="J44" s="700">
        <v>4547</v>
      </c>
      <c r="K44" s="710"/>
      <c r="L44" s="11"/>
      <c r="M44" s="11"/>
      <c r="N44" s="11"/>
      <c r="O44" s="11"/>
      <c r="P44" s="11"/>
      <c r="Q44" s="11"/>
      <c r="R44" s="11"/>
    </row>
    <row r="45" spans="1:18">
      <c r="A45" s="1115"/>
      <c r="B45" s="1126"/>
      <c r="C45" s="1143"/>
      <c r="D45" s="284">
        <v>5</v>
      </c>
      <c r="E45" s="280"/>
      <c r="F45" s="239">
        <v>8</v>
      </c>
      <c r="G45" s="251">
        <v>35.25</v>
      </c>
      <c r="H45" s="1023"/>
      <c r="I45" s="851">
        <f t="shared" si="1"/>
        <v>5785</v>
      </c>
      <c r="J45" s="700">
        <v>5785</v>
      </c>
      <c r="K45" s="710"/>
      <c r="L45" s="11"/>
      <c r="M45" s="11"/>
      <c r="N45" s="11"/>
      <c r="O45" s="11"/>
      <c r="P45" s="11"/>
      <c r="Q45" s="11"/>
      <c r="R45" s="11"/>
    </row>
    <row r="46" spans="1:18">
      <c r="A46" s="1115"/>
      <c r="B46" s="1126"/>
      <c r="C46" s="1116" t="s">
        <v>14</v>
      </c>
      <c r="D46" s="281">
        <v>3</v>
      </c>
      <c r="E46" s="278"/>
      <c r="F46" s="222" t="s">
        <v>100</v>
      </c>
      <c r="G46" s="238">
        <v>11.64</v>
      </c>
      <c r="H46" s="915"/>
      <c r="I46" s="852">
        <f t="shared" si="1"/>
        <v>1777</v>
      </c>
      <c r="J46" s="700">
        <v>1777</v>
      </c>
      <c r="K46" s="710"/>
      <c r="L46" s="11"/>
      <c r="M46" s="11"/>
      <c r="N46" s="11"/>
      <c r="O46" s="11"/>
      <c r="P46" s="11"/>
      <c r="Q46" s="11"/>
      <c r="R46" s="11"/>
    </row>
    <row r="47" spans="1:18">
      <c r="A47" s="1115"/>
      <c r="B47" s="1126"/>
      <c r="C47" s="1117"/>
      <c r="D47" s="284">
        <v>4</v>
      </c>
      <c r="E47" s="280"/>
      <c r="F47" s="239" t="s">
        <v>100</v>
      </c>
      <c r="G47" s="251">
        <v>15.52</v>
      </c>
      <c r="H47" s="921"/>
      <c r="I47" s="846">
        <f t="shared" si="1"/>
        <v>2369</v>
      </c>
      <c r="J47" s="700">
        <v>2369</v>
      </c>
      <c r="K47" s="710"/>
      <c r="L47" s="11"/>
      <c r="M47" s="11"/>
      <c r="N47" s="11"/>
      <c r="O47" s="11"/>
      <c r="P47" s="11"/>
      <c r="Q47" s="11"/>
      <c r="R47" s="11"/>
    </row>
    <row r="48" spans="1:18" ht="27.75">
      <c r="A48" s="1115"/>
      <c r="B48" s="1126"/>
      <c r="C48" s="1117"/>
      <c r="D48" s="738">
        <v>4</v>
      </c>
      <c r="E48" s="830">
        <v>2</v>
      </c>
      <c r="F48" s="755">
        <v>6</v>
      </c>
      <c r="G48" s="756">
        <v>15.52</v>
      </c>
      <c r="H48" s="933">
        <v>64</v>
      </c>
      <c r="I48" s="758">
        <f t="shared" si="1"/>
        <v>2533</v>
      </c>
      <c r="J48" s="700">
        <v>2533</v>
      </c>
      <c r="K48" s="710"/>
      <c r="L48" s="11"/>
      <c r="M48" s="11"/>
      <c r="N48" s="11"/>
      <c r="O48" s="11"/>
      <c r="P48" s="11"/>
      <c r="Q48" s="11"/>
      <c r="R48" s="11"/>
    </row>
    <row r="49" spans="1:19" ht="28.5" thickBot="1">
      <c r="A49" s="1115"/>
      <c r="B49" s="1126"/>
      <c r="C49" s="1118"/>
      <c r="D49" s="943">
        <v>5</v>
      </c>
      <c r="E49" s="944">
        <v>2</v>
      </c>
      <c r="F49" s="945">
        <v>8</v>
      </c>
      <c r="G49" s="946">
        <v>19.399999999999999</v>
      </c>
      <c r="H49" s="947">
        <v>64</v>
      </c>
      <c r="I49" s="948">
        <f t="shared" si="1"/>
        <v>3166</v>
      </c>
      <c r="J49" s="700">
        <v>3166</v>
      </c>
      <c r="K49" s="710"/>
      <c r="L49" s="11"/>
      <c r="M49" s="11"/>
      <c r="N49" s="11"/>
      <c r="O49" s="11"/>
      <c r="P49" s="11"/>
      <c r="Q49" s="11"/>
      <c r="R49" s="11"/>
    </row>
    <row r="50" spans="1:19" ht="37.5" customHeight="1">
      <c r="A50" s="1119"/>
      <c r="B50" s="1138" t="s">
        <v>672</v>
      </c>
      <c r="C50" s="1139"/>
      <c r="D50" s="1046" t="s">
        <v>100</v>
      </c>
      <c r="E50" s="1151" t="s">
        <v>186</v>
      </c>
      <c r="F50" s="1152"/>
      <c r="G50" s="1136">
        <v>0.05</v>
      </c>
      <c r="H50" s="1015">
        <v>100</v>
      </c>
      <c r="I50" s="1127">
        <f t="shared" si="1"/>
        <v>54</v>
      </c>
      <c r="J50" s="700">
        <v>54</v>
      </c>
      <c r="K50" s="710"/>
      <c r="L50" s="11"/>
      <c r="M50" s="11"/>
      <c r="N50" s="11"/>
      <c r="O50" s="11"/>
      <c r="P50" s="11"/>
      <c r="Q50" s="11"/>
      <c r="R50" s="11"/>
    </row>
    <row r="51" spans="1:19" ht="37.5" customHeight="1" thickBot="1">
      <c r="A51" s="1120"/>
      <c r="B51" s="1140"/>
      <c r="C51" s="1141"/>
      <c r="D51" s="1047"/>
      <c r="E51" s="1153"/>
      <c r="F51" s="1154"/>
      <c r="G51" s="1137"/>
      <c r="H51" s="1016"/>
      <c r="I51" s="1128">
        <f t="shared" si="1"/>
        <v>0</v>
      </c>
      <c r="J51" s="700">
        <v>0</v>
      </c>
      <c r="K51" s="710"/>
      <c r="L51" s="11"/>
      <c r="M51" s="11"/>
      <c r="N51" s="11"/>
      <c r="O51" s="11"/>
      <c r="P51" s="11"/>
      <c r="Q51" s="11"/>
      <c r="R51" s="11"/>
    </row>
    <row r="52" spans="1:19" ht="75" customHeight="1">
      <c r="A52" s="719"/>
      <c r="B52" s="855" t="s">
        <v>499</v>
      </c>
      <c r="C52" s="856"/>
      <c r="D52" s="761" t="s">
        <v>100</v>
      </c>
      <c r="E52" s="1109" t="s">
        <v>186</v>
      </c>
      <c r="F52" s="1110"/>
      <c r="G52" s="721">
        <v>0.05</v>
      </c>
      <c r="H52" s="718">
        <v>100</v>
      </c>
      <c r="I52" s="481">
        <f t="shared" si="1"/>
        <v>54</v>
      </c>
      <c r="J52" s="700">
        <v>54</v>
      </c>
      <c r="K52" s="710"/>
      <c r="L52" s="11"/>
      <c r="M52" s="11"/>
      <c r="N52" s="11"/>
      <c r="O52" s="11"/>
      <c r="P52" s="11"/>
      <c r="Q52" s="11"/>
      <c r="R52" s="11"/>
    </row>
    <row r="53" spans="1:19" ht="75" customHeight="1">
      <c r="A53" s="138"/>
      <c r="B53" s="1129" t="s">
        <v>301</v>
      </c>
      <c r="C53" s="1130"/>
      <c r="D53" s="143" t="s">
        <v>100</v>
      </c>
      <c r="E53" s="1111" t="s">
        <v>186</v>
      </c>
      <c r="F53" s="1112"/>
      <c r="G53" s="145">
        <v>0.08</v>
      </c>
      <c r="H53" s="142">
        <v>100</v>
      </c>
      <c r="I53" s="168">
        <f t="shared" si="1"/>
        <v>94</v>
      </c>
      <c r="J53" s="700">
        <v>94</v>
      </c>
      <c r="K53" s="710"/>
      <c r="L53" s="11"/>
      <c r="M53" s="11"/>
      <c r="N53" s="11"/>
      <c r="O53" s="11"/>
      <c r="P53" s="11"/>
      <c r="Q53" s="11"/>
      <c r="R53" s="11"/>
    </row>
    <row r="54" spans="1:19" ht="75" customHeight="1">
      <c r="A54" s="687"/>
      <c r="B54" s="1129" t="s">
        <v>648</v>
      </c>
      <c r="C54" s="1130"/>
      <c r="D54" s="689" t="s">
        <v>100</v>
      </c>
      <c r="E54" s="1111" t="s">
        <v>186</v>
      </c>
      <c r="F54" s="1112"/>
      <c r="G54" s="691">
        <v>0.08</v>
      </c>
      <c r="H54" s="684" t="s">
        <v>100</v>
      </c>
      <c r="I54" s="688">
        <f t="shared" si="1"/>
        <v>54</v>
      </c>
      <c r="J54" s="700">
        <v>54</v>
      </c>
      <c r="K54" s="710"/>
      <c r="L54" s="11"/>
      <c r="M54" s="11"/>
      <c r="N54" s="11"/>
      <c r="O54" s="11"/>
      <c r="P54" s="11"/>
      <c r="Q54" s="11"/>
      <c r="R54" s="11"/>
    </row>
    <row r="55" spans="1:19" ht="75" customHeight="1" thickBot="1">
      <c r="A55" s="917"/>
      <c r="B55" s="1169" t="s">
        <v>538</v>
      </c>
      <c r="C55" s="1170"/>
      <c r="D55" s="949" t="s">
        <v>100</v>
      </c>
      <c r="E55" s="1132" t="s">
        <v>186</v>
      </c>
      <c r="F55" s="1133"/>
      <c r="G55" s="923">
        <v>0.11</v>
      </c>
      <c r="H55" s="913">
        <v>240</v>
      </c>
      <c r="I55" s="950">
        <f t="shared" si="1"/>
        <v>237</v>
      </c>
      <c r="J55" s="700">
        <v>237</v>
      </c>
      <c r="K55" s="710"/>
      <c r="L55" s="11"/>
      <c r="M55" s="11"/>
      <c r="N55" s="11"/>
      <c r="O55" s="11"/>
      <c r="P55" s="11"/>
      <c r="Q55" s="11"/>
      <c r="R55" s="11"/>
    </row>
    <row r="56" spans="1:19" ht="75" customHeight="1" thickBot="1">
      <c r="A56" s="968"/>
      <c r="B56" s="1166" t="s">
        <v>673</v>
      </c>
      <c r="C56" s="1167"/>
      <c r="D56" s="952" t="s">
        <v>85</v>
      </c>
      <c r="E56" s="1113" t="s">
        <v>186</v>
      </c>
      <c r="F56" s="1114"/>
      <c r="G56" s="953">
        <v>0.1</v>
      </c>
      <c r="H56" s="954">
        <v>100</v>
      </c>
      <c r="I56" s="955">
        <f t="shared" si="1"/>
        <v>94</v>
      </c>
      <c r="J56" s="700">
        <v>94</v>
      </c>
      <c r="K56" s="710"/>
      <c r="L56" s="11"/>
      <c r="M56" s="11"/>
      <c r="N56" s="11"/>
      <c r="O56" s="11"/>
      <c r="P56" s="11"/>
      <c r="Q56" s="11"/>
      <c r="R56" s="11"/>
    </row>
    <row r="57" spans="1:19" ht="75" customHeight="1">
      <c r="A57" s="967"/>
      <c r="B57" s="1168" t="s">
        <v>84</v>
      </c>
      <c r="C57" s="1168"/>
      <c r="D57" s="951" t="s">
        <v>290</v>
      </c>
      <c r="E57" s="1109" t="s">
        <v>186</v>
      </c>
      <c r="F57" s="1110"/>
      <c r="G57" s="721">
        <v>0.1</v>
      </c>
      <c r="H57" s="916">
        <v>100</v>
      </c>
      <c r="I57" s="688">
        <f t="shared" si="1"/>
        <v>120</v>
      </c>
      <c r="J57" s="700">
        <v>120</v>
      </c>
      <c r="K57" s="710"/>
      <c r="L57" s="11"/>
      <c r="M57" s="11"/>
      <c r="N57" s="11"/>
      <c r="O57" s="11"/>
      <c r="P57" s="11"/>
      <c r="Q57" s="11"/>
      <c r="R57" s="11"/>
    </row>
    <row r="58" spans="1:19" ht="75" customHeight="1">
      <c r="A58" s="109"/>
      <c r="B58" s="1131" t="s">
        <v>372</v>
      </c>
      <c r="C58" s="1131"/>
      <c r="D58" s="19" t="s">
        <v>85</v>
      </c>
      <c r="E58" s="1111" t="s">
        <v>186</v>
      </c>
      <c r="F58" s="1112"/>
      <c r="G58" s="145">
        <v>0.1</v>
      </c>
      <c r="H58" s="142">
        <v>100</v>
      </c>
      <c r="I58" s="151">
        <f t="shared" si="1"/>
        <v>94</v>
      </c>
      <c r="J58" s="700">
        <v>94</v>
      </c>
      <c r="K58" s="710"/>
      <c r="L58" s="11"/>
      <c r="M58" s="11"/>
      <c r="N58" s="11"/>
      <c r="O58" s="11"/>
      <c r="P58" s="11"/>
      <c r="Q58" s="11"/>
      <c r="R58" s="11"/>
    </row>
    <row r="59" spans="1:19" ht="75" customHeight="1">
      <c r="A59" s="109"/>
      <c r="B59" s="1164" t="s">
        <v>338</v>
      </c>
      <c r="C59" s="1165"/>
      <c r="D59" s="19" t="s">
        <v>100</v>
      </c>
      <c r="E59" s="1111" t="s">
        <v>51</v>
      </c>
      <c r="F59" s="1112"/>
      <c r="G59" s="145"/>
      <c r="H59" s="142">
        <v>100</v>
      </c>
      <c r="I59" s="125">
        <f t="shared" si="1"/>
        <v>24</v>
      </c>
      <c r="J59" s="700">
        <v>24</v>
      </c>
      <c r="K59" s="710"/>
      <c r="L59" s="11"/>
      <c r="M59" s="11"/>
      <c r="N59" s="11"/>
      <c r="O59" s="11"/>
      <c r="P59" s="11"/>
      <c r="Q59" s="11"/>
      <c r="R59" s="11"/>
    </row>
    <row r="60" spans="1:19" ht="75" customHeight="1">
      <c r="A60" s="46"/>
      <c r="B60" s="1131" t="s">
        <v>187</v>
      </c>
      <c r="C60" s="1131"/>
      <c r="D60" s="19" t="s">
        <v>100</v>
      </c>
      <c r="E60" s="1111" t="s">
        <v>311</v>
      </c>
      <c r="F60" s="1112"/>
      <c r="G60" s="20">
        <v>8.0000000000000002E-3</v>
      </c>
      <c r="H60" s="88">
        <v>1500</v>
      </c>
      <c r="I60" s="125">
        <f t="shared" si="1"/>
        <v>41</v>
      </c>
      <c r="J60" s="700">
        <v>41</v>
      </c>
      <c r="K60" s="710"/>
      <c r="L60" s="11"/>
      <c r="M60" s="11"/>
      <c r="N60" s="11"/>
      <c r="O60" s="11"/>
      <c r="P60" s="11"/>
      <c r="Q60" s="11"/>
      <c r="R60" s="11"/>
    </row>
    <row r="61" spans="1:19" ht="45" customHeight="1">
      <c r="A61" s="1108" t="s">
        <v>501</v>
      </c>
      <c r="B61" s="1108"/>
      <c r="C61" s="1108"/>
      <c r="D61" s="1108"/>
      <c r="E61" s="1108"/>
      <c r="F61" s="1108"/>
      <c r="G61" s="1108"/>
      <c r="H61" s="1108"/>
      <c r="I61" s="1108"/>
      <c r="J61" s="704"/>
      <c r="K61" s="121"/>
      <c r="L61" s="11"/>
      <c r="M61" s="11"/>
      <c r="N61" s="11"/>
      <c r="O61" s="11"/>
      <c r="P61" s="11"/>
      <c r="Q61" s="11"/>
      <c r="R61" s="11"/>
      <c r="S61" s="11"/>
    </row>
    <row r="62" spans="1:19" ht="25.5" customHeight="1">
      <c r="A62" s="84" t="s">
        <v>407</v>
      </c>
      <c r="B62" s="79"/>
      <c r="C62" s="79"/>
      <c r="D62" s="79"/>
      <c r="E62" s="79"/>
      <c r="G62" s="1106" t="s">
        <v>32</v>
      </c>
      <c r="H62" s="1106"/>
      <c r="I62" s="1106"/>
      <c r="J62" s="704"/>
      <c r="K62" s="121"/>
      <c r="L62" s="11"/>
      <c r="M62" s="11"/>
      <c r="N62" s="11"/>
      <c r="O62" s="11"/>
      <c r="P62" s="11"/>
      <c r="Q62" s="11"/>
      <c r="R62" s="11"/>
      <c r="S62" s="11"/>
    </row>
    <row r="63" spans="1:19" ht="25.5" customHeight="1">
      <c r="A63" s="84" t="s">
        <v>512</v>
      </c>
      <c r="B63" s="79"/>
      <c r="C63" s="79"/>
      <c r="D63" s="79"/>
      <c r="E63" s="79"/>
      <c r="F63" s="79"/>
      <c r="G63" s="1106"/>
      <c r="H63" s="1106"/>
      <c r="I63" s="1106"/>
      <c r="J63" s="704"/>
      <c r="K63" s="121"/>
      <c r="L63" s="11"/>
      <c r="M63" s="11"/>
      <c r="N63" s="11"/>
      <c r="O63" s="11"/>
      <c r="P63" s="11"/>
      <c r="Q63" s="11"/>
      <c r="R63" s="11"/>
      <c r="S63" s="11"/>
    </row>
    <row r="64" spans="1:19" ht="25.5" customHeight="1">
      <c r="A64" s="84" t="s">
        <v>513</v>
      </c>
      <c r="B64" s="79"/>
      <c r="C64" s="79"/>
      <c r="D64" s="79"/>
      <c r="E64" s="79"/>
      <c r="F64" s="79"/>
      <c r="G64" s="1106"/>
      <c r="H64" s="1106"/>
      <c r="I64" s="1106"/>
      <c r="J64" s="705"/>
      <c r="K64" s="121"/>
      <c r="L64" s="11"/>
      <c r="M64" s="11"/>
      <c r="N64" s="11"/>
      <c r="O64" s="11"/>
      <c r="P64" s="11"/>
      <c r="Q64" s="11"/>
      <c r="R64" s="11"/>
      <c r="S64" s="11"/>
    </row>
    <row r="65" spans="1:19" ht="25.5" customHeight="1">
      <c r="A65" s="84" t="s">
        <v>514</v>
      </c>
      <c r="B65" s="79"/>
      <c r="C65" s="79"/>
      <c r="D65" s="79"/>
      <c r="E65" s="79"/>
      <c r="F65" s="79"/>
      <c r="G65" s="1106"/>
      <c r="H65" s="1106"/>
      <c r="I65" s="1106"/>
      <c r="J65" s="705"/>
      <c r="K65" s="121"/>
      <c r="L65" s="11"/>
      <c r="M65" s="11"/>
      <c r="N65" s="11"/>
      <c r="O65" s="11"/>
      <c r="P65" s="11"/>
      <c r="Q65" s="11"/>
      <c r="R65" s="11"/>
      <c r="S65" s="11"/>
    </row>
    <row r="66" spans="1:19" ht="25.5" customHeight="1">
      <c r="A66" s="84" t="s">
        <v>515</v>
      </c>
      <c r="B66" s="79"/>
      <c r="C66" s="79"/>
      <c r="D66" s="79"/>
      <c r="E66" s="79"/>
      <c r="F66" s="79"/>
      <c r="G66" s="1107" t="s">
        <v>33</v>
      </c>
      <c r="H66" s="1107"/>
      <c r="I66" s="1107"/>
      <c r="J66" s="705"/>
      <c r="K66" s="121"/>
      <c r="L66" s="11"/>
      <c r="M66" s="11"/>
      <c r="N66" s="11"/>
      <c r="O66" s="11"/>
      <c r="P66" s="11"/>
      <c r="Q66" s="11"/>
      <c r="R66" s="11"/>
      <c r="S66" s="11"/>
    </row>
    <row r="67" spans="1:19" ht="25.5" customHeight="1">
      <c r="A67" s="84" t="s">
        <v>181</v>
      </c>
      <c r="B67" s="79"/>
      <c r="C67" s="79"/>
      <c r="D67" s="79"/>
      <c r="E67" s="79"/>
      <c r="F67" s="79"/>
      <c r="G67" s="1107"/>
      <c r="H67" s="1107"/>
      <c r="I67" s="1107"/>
      <c r="J67" s="705"/>
      <c r="K67" s="121"/>
      <c r="L67" s="11"/>
      <c r="M67" s="11"/>
      <c r="N67" s="11"/>
      <c r="O67" s="11"/>
      <c r="P67" s="11"/>
      <c r="Q67" s="11"/>
      <c r="R67" s="11"/>
      <c r="S67" s="11"/>
    </row>
    <row r="68" spans="1:19" ht="32.25" customHeight="1">
      <c r="B68" s="79"/>
      <c r="C68" s="79"/>
      <c r="D68" s="79"/>
      <c r="E68" s="79"/>
      <c r="F68" s="79"/>
      <c r="G68" s="85"/>
      <c r="H68" s="85"/>
      <c r="I68" s="85"/>
      <c r="J68" s="705"/>
      <c r="K68" s="121"/>
      <c r="L68" s="11"/>
      <c r="M68" s="11"/>
      <c r="N68" s="11"/>
      <c r="O68" s="11"/>
      <c r="P68" s="11"/>
      <c r="Q68" s="11"/>
      <c r="R68" s="11"/>
      <c r="S68" s="11"/>
    </row>
    <row r="69" spans="1:19" ht="20.25" customHeight="1">
      <c r="B69" s="150"/>
      <c r="C69" s="150"/>
      <c r="D69" s="150"/>
      <c r="E69" s="261"/>
      <c r="F69" s="150"/>
      <c r="G69" s="150"/>
      <c r="H69" s="150"/>
      <c r="I69" s="150"/>
      <c r="J69" s="705"/>
      <c r="K69" s="121"/>
      <c r="L69" s="11"/>
      <c r="M69" s="11"/>
      <c r="N69" s="11"/>
      <c r="O69" s="11"/>
      <c r="P69" s="11"/>
      <c r="Q69" s="11"/>
      <c r="R69" s="11"/>
      <c r="S69" s="11"/>
    </row>
    <row r="70" spans="1:19" ht="20.25" customHeight="1">
      <c r="A70" s="43"/>
      <c r="B70" s="85"/>
      <c r="C70" s="85"/>
      <c r="D70" s="85"/>
      <c r="E70" s="85"/>
      <c r="F70" s="85"/>
      <c r="G70" s="85"/>
      <c r="H70" s="85"/>
      <c r="I70" s="85"/>
      <c r="J70" s="705"/>
      <c r="K70" s="121"/>
      <c r="L70" s="11"/>
      <c r="M70" s="11"/>
      <c r="N70" s="11"/>
      <c r="O70" s="11"/>
      <c r="P70" s="11"/>
      <c r="Q70" s="11"/>
      <c r="R70" s="11"/>
      <c r="S70" s="11"/>
    </row>
    <row r="71" spans="1:19">
      <c r="B71" s="84"/>
      <c r="C71" s="84"/>
      <c r="D71" s="84"/>
      <c r="E71" s="84"/>
      <c r="G71" s="84"/>
      <c r="H71" s="84"/>
      <c r="I71" s="84"/>
      <c r="J71" s="705"/>
      <c r="K71" s="121"/>
      <c r="L71" s="79"/>
      <c r="M71" s="79"/>
      <c r="N71" s="79"/>
      <c r="O71" s="79"/>
      <c r="P71" s="79"/>
      <c r="Q71" s="79"/>
      <c r="R71" s="11"/>
      <c r="S71" s="11"/>
    </row>
    <row r="72" spans="1:19" ht="20.25" customHeight="1">
      <c r="J72" s="706"/>
      <c r="K72" s="121"/>
      <c r="L72" s="11"/>
      <c r="M72" s="11"/>
      <c r="N72" s="11"/>
      <c r="O72" s="11"/>
      <c r="P72" s="11"/>
      <c r="Q72" s="11"/>
      <c r="R72" s="11"/>
      <c r="S72" s="11"/>
    </row>
    <row r="73" spans="1:19" ht="3.75" customHeight="1">
      <c r="A73" s="11"/>
      <c r="B73" s="11"/>
      <c r="C73" s="11"/>
      <c r="D73" s="11"/>
      <c r="E73" s="11"/>
      <c r="F73" s="11"/>
      <c r="G73" s="11"/>
      <c r="H73" s="11"/>
      <c r="I73" s="11"/>
      <c r="J73" s="704"/>
      <c r="K73" s="11"/>
      <c r="L73" s="11"/>
      <c r="M73" s="11"/>
      <c r="N73" s="11"/>
      <c r="O73" s="11"/>
      <c r="P73" s="11"/>
      <c r="Q73" s="11"/>
      <c r="R73" s="11"/>
      <c r="S73" s="11"/>
    </row>
    <row r="74" spans="1:19" ht="47.25" hidden="1" customHeight="1">
      <c r="A74" s="146" t="s">
        <v>115</v>
      </c>
      <c r="B74" s="82">
        <v>0</v>
      </c>
      <c r="C74" s="11"/>
      <c r="D74" s="11"/>
      <c r="E74" s="11"/>
      <c r="F74" s="11"/>
      <c r="G74" s="11"/>
      <c r="H74" s="11"/>
      <c r="I74" s="11"/>
      <c r="J74" s="704"/>
      <c r="K74" s="11"/>
      <c r="L74" s="11"/>
      <c r="M74" s="11"/>
      <c r="N74" s="11"/>
      <c r="O74" s="11"/>
      <c r="P74" s="11"/>
      <c r="Q74" s="11"/>
      <c r="R74" s="11"/>
      <c r="S74" s="11"/>
    </row>
    <row r="75" spans="1:19">
      <c r="A75" s="35"/>
      <c r="B75" s="11"/>
      <c r="C75" s="11"/>
      <c r="D75" s="11"/>
      <c r="E75" s="11"/>
      <c r="F75" s="11"/>
      <c r="G75" s="11"/>
      <c r="H75" s="11"/>
      <c r="I75" s="11"/>
      <c r="J75" s="704"/>
      <c r="K75" s="11"/>
      <c r="L75" s="11"/>
      <c r="M75" s="11"/>
      <c r="N75" s="11"/>
      <c r="O75" s="11"/>
      <c r="P75" s="11"/>
      <c r="Q75" s="11"/>
      <c r="R75" s="11"/>
      <c r="S75" s="11"/>
    </row>
    <row r="76" spans="1:19">
      <c r="A76" s="33"/>
      <c r="B76" s="33"/>
      <c r="C76" s="33"/>
      <c r="D76" s="33"/>
      <c r="E76" s="33"/>
      <c r="F76" s="33"/>
      <c r="G76" s="33"/>
      <c r="H76" s="33"/>
      <c r="I76" s="33"/>
      <c r="J76" s="707"/>
      <c r="K76" s="33"/>
      <c r="L76" s="33"/>
      <c r="M76" s="33"/>
      <c r="N76" s="33"/>
      <c r="O76" s="33"/>
      <c r="P76" s="33"/>
      <c r="Q76" s="33"/>
      <c r="R76" s="33"/>
      <c r="S76" s="34"/>
    </row>
    <row r="77" spans="1:19">
      <c r="A77" s="33"/>
      <c r="B77" s="33"/>
      <c r="C77" s="33"/>
      <c r="D77" s="33"/>
      <c r="E77" s="33"/>
      <c r="F77" s="33"/>
      <c r="G77" s="33"/>
      <c r="H77" s="33"/>
      <c r="I77" s="33"/>
      <c r="J77" s="707"/>
      <c r="K77" s="33"/>
      <c r="L77" s="33"/>
      <c r="M77" s="33"/>
      <c r="N77" s="33"/>
      <c r="O77" s="33"/>
      <c r="P77" s="33"/>
      <c r="Q77" s="33"/>
      <c r="R77" s="33"/>
      <c r="S77" s="34"/>
    </row>
    <row r="78" spans="1:19" ht="14.25" customHeight="1">
      <c r="A78" s="33"/>
      <c r="B78" s="33"/>
      <c r="C78" s="33"/>
      <c r="D78" s="33"/>
      <c r="E78" s="33"/>
      <c r="F78" s="33"/>
      <c r="G78" s="33"/>
      <c r="H78" s="33"/>
      <c r="I78" s="33"/>
      <c r="J78" s="707"/>
      <c r="K78" s="33"/>
      <c r="L78" s="33"/>
      <c r="M78" s="33"/>
      <c r="N78" s="33"/>
      <c r="O78" s="33"/>
      <c r="P78" s="33"/>
      <c r="Q78" s="33"/>
      <c r="R78" s="33"/>
      <c r="S78" s="11"/>
    </row>
    <row r="79" spans="1:19">
      <c r="A79" s="11"/>
      <c r="B79" s="11"/>
      <c r="C79" s="11"/>
      <c r="D79" s="11"/>
      <c r="E79" s="11"/>
      <c r="F79" s="11"/>
      <c r="G79" s="11"/>
      <c r="H79" s="11"/>
      <c r="I79" s="11"/>
      <c r="J79" s="704"/>
      <c r="K79" s="11"/>
      <c r="L79" s="11"/>
      <c r="M79" s="11"/>
      <c r="N79" s="11"/>
      <c r="O79" s="11"/>
      <c r="P79" s="11"/>
      <c r="Q79" s="11"/>
      <c r="R79" s="11"/>
      <c r="S79" s="11"/>
    </row>
  </sheetData>
  <mergeCells count="45">
    <mergeCell ref="B3:C3"/>
    <mergeCell ref="C4:C19"/>
    <mergeCell ref="C24:C25"/>
    <mergeCell ref="B59:C59"/>
    <mergeCell ref="B58:C58"/>
    <mergeCell ref="B56:C56"/>
    <mergeCell ref="B57:C57"/>
    <mergeCell ref="B55:C55"/>
    <mergeCell ref="H24:H25"/>
    <mergeCell ref="H4:H19"/>
    <mergeCell ref="G50:G51"/>
    <mergeCell ref="B50:C51"/>
    <mergeCell ref="C44:C45"/>
    <mergeCell ref="H20:H23"/>
    <mergeCell ref="C26:C41"/>
    <mergeCell ref="H42:H43"/>
    <mergeCell ref="H44:H45"/>
    <mergeCell ref="H50:H51"/>
    <mergeCell ref="E50:F51"/>
    <mergeCell ref="C20:C23"/>
    <mergeCell ref="C42:C43"/>
    <mergeCell ref="I50:I51"/>
    <mergeCell ref="B53:C53"/>
    <mergeCell ref="D50:D51"/>
    <mergeCell ref="B60:C60"/>
    <mergeCell ref="E59:F59"/>
    <mergeCell ref="E60:F60"/>
    <mergeCell ref="E55:F55"/>
    <mergeCell ref="B54:C54"/>
    <mergeCell ref="E54:F54"/>
    <mergeCell ref="A4:A49"/>
    <mergeCell ref="C46:C49"/>
    <mergeCell ref="A50:A51"/>
    <mergeCell ref="B4:B16"/>
    <mergeCell ref="B18:B23"/>
    <mergeCell ref="B24:B40"/>
    <mergeCell ref="B42:B49"/>
    <mergeCell ref="G62:I65"/>
    <mergeCell ref="G66:I67"/>
    <mergeCell ref="A61:I61"/>
    <mergeCell ref="E52:F52"/>
    <mergeCell ref="E53:F53"/>
    <mergeCell ref="E56:F56"/>
    <mergeCell ref="E57:F57"/>
    <mergeCell ref="E58:F58"/>
  </mergeCells>
  <phoneticPr fontId="24" type="noConversion"/>
  <printOptions horizontalCentered="1"/>
  <pageMargins left="0" right="0" top="0" bottom="0" header="0" footer="0"/>
  <pageSetup paperSize="9" scale="38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">
    <tabColor rgb="FFC00000"/>
    <pageSetUpPr fitToPage="1"/>
  </sheetPr>
  <dimension ref="A1:Q62"/>
  <sheetViews>
    <sheetView showGridLines="0" topLeftCell="A43" zoomScale="55" zoomScaleNormal="55" zoomScaleSheetLayoutView="55" zoomScalePageLayoutView="40" workbookViewId="0">
      <selection activeCell="L52" sqref="L52"/>
    </sheetView>
  </sheetViews>
  <sheetFormatPr defaultRowHeight="23.25"/>
  <cols>
    <col min="1" max="1" width="38.140625" style="1" customWidth="1"/>
    <col min="2" max="2" width="90.85546875" style="1" customWidth="1"/>
    <col min="3" max="3" width="28.7109375" style="1" customWidth="1"/>
    <col min="4" max="4" width="30.7109375" style="1" customWidth="1"/>
    <col min="5" max="5" width="23.5703125" style="1" customWidth="1"/>
    <col min="6" max="7" width="30.7109375" style="1" customWidth="1"/>
    <col min="8" max="8" width="11.5703125" style="176" hidden="1" customWidth="1"/>
    <col min="9" max="9" width="11.140625" style="1" customWidth="1"/>
    <col min="10" max="10" width="4.28515625" style="1" customWidth="1"/>
    <col min="11" max="11" width="11.5703125" style="1" bestFit="1" customWidth="1"/>
    <col min="12" max="12" width="13.42578125" style="1" bestFit="1" customWidth="1"/>
    <col min="13" max="16" width="9.140625" style="1"/>
    <col min="17" max="17" width="13.5703125" style="1" customWidth="1"/>
    <col min="18" max="16384" width="9.140625" style="1"/>
  </cols>
  <sheetData>
    <row r="1" spans="1:17" ht="75.75" customHeight="1">
      <c r="C1" s="209"/>
      <c r="D1" s="209"/>
      <c r="E1" s="209"/>
      <c r="F1" s="209"/>
      <c r="G1" s="209"/>
      <c r="H1" s="179"/>
      <c r="I1" s="44"/>
      <c r="J1" s="44"/>
      <c r="K1" s="44"/>
      <c r="L1" s="44"/>
      <c r="M1" s="44"/>
      <c r="N1" s="44"/>
      <c r="O1" s="44"/>
      <c r="P1" s="44"/>
      <c r="Q1" s="44"/>
    </row>
    <row r="2" spans="1:17" ht="33" customHeight="1">
      <c r="B2" s="1187" t="s">
        <v>383</v>
      </c>
      <c r="C2" s="1187"/>
      <c r="D2" s="1187"/>
      <c r="E2" s="304"/>
      <c r="F2" s="463"/>
      <c r="G2" s="711"/>
      <c r="I2" s="45"/>
      <c r="J2" s="11"/>
      <c r="K2" s="11"/>
      <c r="L2" s="11"/>
      <c r="M2" s="11"/>
      <c r="N2" s="11"/>
      <c r="O2" s="11"/>
      <c r="P2" s="11"/>
      <c r="Q2" s="11"/>
    </row>
    <row r="3" spans="1:17" ht="50.25" customHeight="1">
      <c r="A3" s="559" t="s">
        <v>200</v>
      </c>
      <c r="B3" s="1160" t="s">
        <v>189</v>
      </c>
      <c r="C3" s="1161"/>
      <c r="D3" s="560"/>
      <c r="E3" s="559" t="s">
        <v>82</v>
      </c>
      <c r="F3" s="561" t="s">
        <v>213</v>
      </c>
      <c r="G3" s="562" t="s">
        <v>127</v>
      </c>
      <c r="H3" s="565" t="s">
        <v>66</v>
      </c>
      <c r="I3" s="11"/>
      <c r="J3" s="11"/>
      <c r="K3" s="11"/>
      <c r="L3" s="11"/>
      <c r="M3" s="11"/>
      <c r="N3" s="11"/>
      <c r="O3" s="11"/>
      <c r="P3" s="11"/>
    </row>
    <row r="4" spans="1:17" ht="54" customHeight="1">
      <c r="A4" s="46"/>
      <c r="B4" s="287" t="s">
        <v>292</v>
      </c>
      <c r="C4" s="19">
        <v>0.55000000000000004</v>
      </c>
      <c r="D4" s="685" t="s">
        <v>53</v>
      </c>
      <c r="E4" s="144">
        <v>1.25</v>
      </c>
      <c r="F4" s="694">
        <v>16</v>
      </c>
      <c r="G4" s="699">
        <f>ROUND(H4*(1-$B$57),2)</f>
        <v>651</v>
      </c>
      <c r="H4" s="700">
        <v>651</v>
      </c>
      <c r="I4" s="11"/>
      <c r="J4" s="11"/>
      <c r="K4" s="695"/>
      <c r="L4" s="11"/>
      <c r="M4" s="11"/>
      <c r="N4" s="11"/>
      <c r="O4" s="11"/>
      <c r="P4" s="11"/>
    </row>
    <row r="5" spans="1:17" ht="54" customHeight="1">
      <c r="A5" s="46"/>
      <c r="B5" s="287" t="s">
        <v>192</v>
      </c>
      <c r="C5" s="19">
        <v>0.55000000000000004</v>
      </c>
      <c r="D5" s="685" t="s">
        <v>53</v>
      </c>
      <c r="E5" s="144">
        <v>1.97</v>
      </c>
      <c r="F5" s="694">
        <v>16</v>
      </c>
      <c r="G5" s="699">
        <f t="shared" ref="G5:G12" si="0">ROUND(H5*(1-$B$57),2)</f>
        <v>811</v>
      </c>
      <c r="H5" s="700">
        <v>811</v>
      </c>
      <c r="I5" s="11"/>
      <c r="J5" s="11"/>
      <c r="K5" s="695"/>
      <c r="L5" s="11"/>
      <c r="M5" s="11"/>
      <c r="N5" s="11"/>
      <c r="O5" s="11"/>
      <c r="P5" s="11"/>
    </row>
    <row r="6" spans="1:17" ht="54" customHeight="1">
      <c r="A6" s="46"/>
      <c r="B6" s="287" t="s">
        <v>188</v>
      </c>
      <c r="C6" s="19">
        <v>0.55000000000000004</v>
      </c>
      <c r="D6" s="685" t="s">
        <v>53</v>
      </c>
      <c r="E6" s="144">
        <v>1.08</v>
      </c>
      <c r="F6" s="694">
        <v>20</v>
      </c>
      <c r="G6" s="699">
        <f t="shared" si="0"/>
        <v>380</v>
      </c>
      <c r="H6" s="700">
        <v>380</v>
      </c>
      <c r="I6" s="11"/>
      <c r="J6" s="11"/>
      <c r="K6" s="695"/>
      <c r="L6" s="11"/>
      <c r="M6" s="11"/>
      <c r="N6" s="11"/>
      <c r="O6" s="11"/>
      <c r="P6" s="11"/>
    </row>
    <row r="7" spans="1:17" ht="54" customHeight="1">
      <c r="A7" s="46"/>
      <c r="B7" s="287" t="s">
        <v>530</v>
      </c>
      <c r="C7" s="19">
        <v>0.55000000000000004</v>
      </c>
      <c r="D7" s="685" t="s">
        <v>53</v>
      </c>
      <c r="E7" s="144" t="s">
        <v>100</v>
      </c>
      <c r="F7" s="694" t="s">
        <v>100</v>
      </c>
      <c r="G7" s="699">
        <f t="shared" si="0"/>
        <v>731</v>
      </c>
      <c r="H7" s="700">
        <v>731</v>
      </c>
      <c r="I7" s="11"/>
      <c r="J7" s="11"/>
      <c r="K7" s="695"/>
      <c r="L7" s="11"/>
      <c r="M7" s="11"/>
      <c r="N7" s="11"/>
      <c r="O7" s="11"/>
      <c r="P7" s="11"/>
    </row>
    <row r="8" spans="1:17" ht="54" customHeight="1">
      <c r="A8" s="46"/>
      <c r="B8" s="287" t="s">
        <v>531</v>
      </c>
      <c r="C8" s="19">
        <v>0.55000000000000004</v>
      </c>
      <c r="D8" s="685" t="s">
        <v>53</v>
      </c>
      <c r="E8" s="144" t="s">
        <v>100</v>
      </c>
      <c r="F8" s="694" t="s">
        <v>289</v>
      </c>
      <c r="G8" s="699">
        <f t="shared" si="0"/>
        <v>891</v>
      </c>
      <c r="H8" s="700">
        <v>891</v>
      </c>
      <c r="I8" s="11"/>
      <c r="J8" s="11"/>
      <c r="K8" s="695"/>
      <c r="L8" s="11"/>
      <c r="M8" s="11"/>
      <c r="N8" s="11"/>
      <c r="O8" s="11"/>
      <c r="P8" s="11"/>
    </row>
    <row r="9" spans="1:17" ht="54" customHeight="1">
      <c r="A9" s="1175"/>
      <c r="B9" s="287" t="s">
        <v>334</v>
      </c>
      <c r="C9" s="19">
        <v>0.55000000000000004</v>
      </c>
      <c r="D9" s="685" t="s">
        <v>53</v>
      </c>
      <c r="E9" s="144">
        <v>1.1000000000000001</v>
      </c>
      <c r="F9" s="694" t="s">
        <v>289</v>
      </c>
      <c r="G9" s="699">
        <f t="shared" si="0"/>
        <v>601</v>
      </c>
      <c r="H9" s="700">
        <v>601</v>
      </c>
      <c r="I9" s="11"/>
      <c r="J9" s="11"/>
      <c r="K9" s="695"/>
      <c r="L9" s="11"/>
      <c r="M9" s="11"/>
      <c r="N9" s="11"/>
      <c r="O9" s="11"/>
      <c r="P9" s="11"/>
    </row>
    <row r="10" spans="1:17" ht="54" customHeight="1">
      <c r="A10" s="1176"/>
      <c r="B10" s="287" t="s">
        <v>335</v>
      </c>
      <c r="C10" s="19">
        <v>0.95</v>
      </c>
      <c r="D10" s="685" t="s">
        <v>53</v>
      </c>
      <c r="E10" s="144">
        <v>1.86</v>
      </c>
      <c r="F10" s="694" t="s">
        <v>289</v>
      </c>
      <c r="G10" s="699">
        <f t="shared" si="0"/>
        <v>1340</v>
      </c>
      <c r="H10" s="700">
        <v>1340</v>
      </c>
      <c r="I10" s="11"/>
      <c r="J10" s="11"/>
      <c r="K10" s="695"/>
      <c r="L10" s="11"/>
      <c r="M10" s="11"/>
      <c r="N10" s="11"/>
      <c r="O10" s="11"/>
      <c r="P10" s="11"/>
    </row>
    <row r="11" spans="1:17" ht="54" customHeight="1">
      <c r="A11" s="686"/>
      <c r="B11" s="287" t="s">
        <v>646</v>
      </c>
      <c r="C11" s="19">
        <v>0.5</v>
      </c>
      <c r="D11" s="685" t="s">
        <v>53</v>
      </c>
      <c r="E11" s="693">
        <v>1.08</v>
      </c>
      <c r="F11" s="694" t="s">
        <v>289</v>
      </c>
      <c r="G11" s="699">
        <f t="shared" si="0"/>
        <v>311</v>
      </c>
      <c r="H11" s="697">
        <v>311</v>
      </c>
      <c r="I11" s="11"/>
      <c r="J11" s="11"/>
      <c r="K11" s="696"/>
      <c r="L11" s="11"/>
      <c r="M11" s="11"/>
      <c r="N11" s="11"/>
      <c r="O11" s="11"/>
      <c r="P11" s="11"/>
    </row>
    <row r="12" spans="1:17" ht="54" customHeight="1">
      <c r="A12" s="692"/>
      <c r="B12" s="287" t="s">
        <v>647</v>
      </c>
      <c r="C12" s="19">
        <v>0.5</v>
      </c>
      <c r="D12" s="685" t="s">
        <v>53</v>
      </c>
      <c r="E12" s="693">
        <v>1.9</v>
      </c>
      <c r="F12" s="694" t="s">
        <v>289</v>
      </c>
      <c r="G12" s="699">
        <f t="shared" si="0"/>
        <v>622</v>
      </c>
      <c r="H12" s="698">
        <v>622</v>
      </c>
      <c r="I12" s="11"/>
      <c r="J12" s="11"/>
      <c r="K12" s="11"/>
      <c r="L12" s="11"/>
      <c r="M12" s="11"/>
      <c r="N12" s="11"/>
      <c r="O12" s="11"/>
      <c r="P12" s="11"/>
    </row>
    <row r="13" spans="1:17" ht="54" customHeight="1">
      <c r="A13" s="692"/>
      <c r="B13" s="287" t="s">
        <v>35</v>
      </c>
      <c r="C13" s="19" t="s">
        <v>34</v>
      </c>
      <c r="D13" s="690" t="s">
        <v>319</v>
      </c>
      <c r="E13" s="144">
        <v>4</v>
      </c>
      <c r="F13" s="694" t="s">
        <v>289</v>
      </c>
      <c r="G13" s="699">
        <f>ROUND(H13*(1-$B$57),2)</f>
        <v>2883</v>
      </c>
      <c r="H13" s="700">
        <v>2883</v>
      </c>
      <c r="I13" s="11"/>
      <c r="J13" s="11"/>
      <c r="K13" s="11"/>
      <c r="L13" s="11"/>
      <c r="M13" s="11"/>
      <c r="N13" s="11"/>
      <c r="O13" s="11"/>
      <c r="P13" s="11"/>
    </row>
    <row r="14" spans="1:17" ht="50.25" customHeight="1">
      <c r="A14" s="46"/>
      <c r="B14" s="1131" t="s">
        <v>27</v>
      </c>
      <c r="C14" s="1131"/>
      <c r="D14" s="480" t="s">
        <v>54</v>
      </c>
      <c r="E14" s="20">
        <v>2E-3</v>
      </c>
      <c r="F14" s="482">
        <v>200</v>
      </c>
      <c r="G14" s="125">
        <f t="shared" ref="G14:G41" si="1">ROUND(H14*(1-$B$57),2)</f>
        <v>14</v>
      </c>
      <c r="H14" s="566">
        <v>14</v>
      </c>
      <c r="I14" s="11"/>
      <c r="J14" s="11"/>
      <c r="K14" s="11"/>
      <c r="L14" s="11"/>
      <c r="M14" s="11"/>
      <c r="N14" s="11"/>
      <c r="O14" s="11"/>
    </row>
    <row r="15" spans="1:17" ht="51" customHeight="1">
      <c r="A15" s="46"/>
      <c r="B15" s="1131" t="s">
        <v>282</v>
      </c>
      <c r="C15" s="1131"/>
      <c r="D15" s="480" t="s">
        <v>291</v>
      </c>
      <c r="E15" s="144">
        <v>0.05</v>
      </c>
      <c r="F15" s="479">
        <v>100</v>
      </c>
      <c r="G15" s="125">
        <f t="shared" si="1"/>
        <v>20</v>
      </c>
      <c r="H15" s="566">
        <v>20</v>
      </c>
      <c r="I15" s="11"/>
      <c r="J15" s="11"/>
      <c r="K15" s="11"/>
      <c r="L15" s="11"/>
      <c r="M15" s="11"/>
      <c r="N15" s="11"/>
      <c r="O15" s="11"/>
    </row>
    <row r="16" spans="1:17" ht="54" customHeight="1">
      <c r="A16" s="46"/>
      <c r="B16" s="1164" t="s">
        <v>119</v>
      </c>
      <c r="C16" s="1165"/>
      <c r="D16" s="480" t="s">
        <v>55</v>
      </c>
      <c r="E16" s="255">
        <v>0.17</v>
      </c>
      <c r="F16" s="116" t="s">
        <v>100</v>
      </c>
      <c r="G16" s="125">
        <f t="shared" si="1"/>
        <v>426</v>
      </c>
      <c r="H16" s="567">
        <v>426</v>
      </c>
      <c r="I16" s="121"/>
      <c r="J16" s="11"/>
      <c r="K16" s="11"/>
      <c r="L16" s="11"/>
      <c r="M16" s="11"/>
      <c r="N16" s="11"/>
      <c r="O16" s="11"/>
      <c r="P16" s="11"/>
    </row>
    <row r="17" spans="1:16" ht="55.9" customHeight="1">
      <c r="A17" s="46"/>
      <c r="B17" s="1164" t="s">
        <v>255</v>
      </c>
      <c r="C17" s="1165"/>
      <c r="D17" s="272" t="s">
        <v>308</v>
      </c>
      <c r="E17" s="20" t="s">
        <v>100</v>
      </c>
      <c r="F17" s="255">
        <v>200</v>
      </c>
      <c r="G17" s="125">
        <f t="shared" si="1"/>
        <v>46</v>
      </c>
      <c r="H17" s="183">
        <v>46</v>
      </c>
      <c r="I17" s="121"/>
      <c r="J17" s="11"/>
      <c r="K17" s="11"/>
      <c r="L17" s="11"/>
      <c r="M17" s="11"/>
      <c r="N17" s="11"/>
      <c r="O17" s="11"/>
      <c r="P17" s="11"/>
    </row>
    <row r="18" spans="1:16" ht="55.9" customHeight="1">
      <c r="A18" s="263"/>
      <c r="B18" s="1205" t="s">
        <v>283</v>
      </c>
      <c r="C18" s="1206"/>
      <c r="D18" s="272" t="s">
        <v>53</v>
      </c>
      <c r="E18" s="254">
        <v>0.72</v>
      </c>
      <c r="F18" s="258">
        <v>2</v>
      </c>
      <c r="G18" s="260">
        <f t="shared" si="1"/>
        <v>519</v>
      </c>
      <c r="H18" s="183">
        <v>519</v>
      </c>
      <c r="I18" s="121"/>
      <c r="J18" s="11"/>
      <c r="K18" s="11"/>
      <c r="L18" s="11"/>
      <c r="M18" s="11"/>
      <c r="N18" s="11"/>
      <c r="O18" s="11"/>
      <c r="P18" s="11"/>
    </row>
    <row r="19" spans="1:16" ht="56.1" customHeight="1">
      <c r="A19" s="1208"/>
      <c r="B19" s="1209" t="s">
        <v>532</v>
      </c>
      <c r="C19" s="287" t="s">
        <v>412</v>
      </c>
      <c r="D19" s="272" t="s">
        <v>536</v>
      </c>
      <c r="E19" s="269">
        <v>35</v>
      </c>
      <c r="F19" s="256">
        <v>50</v>
      </c>
      <c r="G19" s="125">
        <f t="shared" si="1"/>
        <v>599</v>
      </c>
      <c r="H19" s="183">
        <v>599</v>
      </c>
      <c r="I19" s="121"/>
      <c r="J19" s="11"/>
      <c r="K19" s="11"/>
      <c r="L19" s="11"/>
      <c r="M19" s="11"/>
      <c r="N19" s="11"/>
      <c r="O19" s="11"/>
      <c r="P19" s="11"/>
    </row>
    <row r="20" spans="1:16" ht="51.75" customHeight="1">
      <c r="A20" s="1208"/>
      <c r="B20" s="1168"/>
      <c r="C20" s="287" t="s">
        <v>413</v>
      </c>
      <c r="D20" s="272" t="s">
        <v>537</v>
      </c>
      <c r="E20" s="262">
        <v>35</v>
      </c>
      <c r="F20" s="256" t="s">
        <v>289</v>
      </c>
      <c r="G20" s="125">
        <f t="shared" si="1"/>
        <v>665</v>
      </c>
      <c r="H20" s="183">
        <v>665</v>
      </c>
      <c r="I20" s="121"/>
      <c r="J20" s="11"/>
      <c r="K20" s="11"/>
      <c r="L20" s="11"/>
      <c r="M20" s="11"/>
      <c r="N20" s="11"/>
      <c r="O20" s="11"/>
      <c r="P20" s="11"/>
    </row>
    <row r="21" spans="1:16" ht="56.1" customHeight="1">
      <c r="A21" s="132"/>
      <c r="B21" s="1203" t="s">
        <v>533</v>
      </c>
      <c r="C21" s="1213"/>
      <c r="D21" s="292"/>
      <c r="E21" s="293"/>
      <c r="F21" s="256" t="s">
        <v>289</v>
      </c>
      <c r="G21" s="260">
        <f t="shared" si="1"/>
        <v>347</v>
      </c>
      <c r="H21" s="183">
        <v>347</v>
      </c>
      <c r="I21" s="121"/>
      <c r="J21" s="11"/>
      <c r="K21" s="11"/>
      <c r="L21" s="11"/>
      <c r="M21" s="11"/>
      <c r="N21" s="11"/>
      <c r="O21" s="11"/>
      <c r="P21" s="11"/>
    </row>
    <row r="22" spans="1:16" ht="56.1" customHeight="1">
      <c r="A22" s="264"/>
      <c r="B22" s="1203" t="s">
        <v>28</v>
      </c>
      <c r="C22" s="1204"/>
      <c r="D22" s="273" t="s">
        <v>54</v>
      </c>
      <c r="E22" s="267">
        <v>0.11</v>
      </c>
      <c r="F22" s="256" t="s">
        <v>289</v>
      </c>
      <c r="G22" s="260">
        <f t="shared" si="1"/>
        <v>32</v>
      </c>
      <c r="H22" s="183">
        <v>32</v>
      </c>
      <c r="I22" s="121"/>
      <c r="J22" s="11"/>
      <c r="K22" s="11"/>
      <c r="L22" s="11"/>
      <c r="M22" s="11"/>
      <c r="N22" s="11"/>
      <c r="O22" s="11"/>
      <c r="P22" s="11"/>
    </row>
    <row r="23" spans="1:16" ht="35.1" customHeight="1">
      <c r="A23" s="1210"/>
      <c r="B23" s="1200" t="s">
        <v>415</v>
      </c>
      <c r="C23" s="298" t="s">
        <v>416</v>
      </c>
      <c r="D23" s="301" t="s">
        <v>52</v>
      </c>
      <c r="E23" s="295">
        <v>6.65</v>
      </c>
      <c r="F23" s="1073" t="s">
        <v>92</v>
      </c>
      <c r="G23" s="173">
        <f t="shared" si="1"/>
        <v>1945</v>
      </c>
      <c r="H23" s="183">
        <v>1945</v>
      </c>
      <c r="I23" s="121"/>
      <c r="J23" s="11"/>
      <c r="K23" s="661"/>
      <c r="L23" s="606"/>
      <c r="M23" s="11"/>
      <c r="N23" s="11"/>
      <c r="O23" s="11"/>
      <c r="P23" s="11"/>
    </row>
    <row r="24" spans="1:16" ht="35.1" customHeight="1">
      <c r="A24" s="1212"/>
      <c r="B24" s="1202"/>
      <c r="C24" s="300" t="s">
        <v>417</v>
      </c>
      <c r="D24" s="302" t="s">
        <v>52</v>
      </c>
      <c r="E24" s="297">
        <v>8.35</v>
      </c>
      <c r="F24" s="1074"/>
      <c r="G24" s="175">
        <f t="shared" si="1"/>
        <v>2495</v>
      </c>
      <c r="H24" s="183">
        <v>2495</v>
      </c>
      <c r="I24" s="121"/>
      <c r="J24" s="11"/>
      <c r="K24" s="661"/>
      <c r="L24" s="606"/>
      <c r="M24" s="11"/>
      <c r="N24" s="11"/>
      <c r="O24" s="11"/>
      <c r="P24" s="11"/>
    </row>
    <row r="25" spans="1:16" ht="56.1" customHeight="1">
      <c r="A25" s="266"/>
      <c r="B25" s="1203" t="s">
        <v>30</v>
      </c>
      <c r="C25" s="1204"/>
      <c r="D25" s="273" t="s">
        <v>54</v>
      </c>
      <c r="E25" s="267">
        <v>0.16</v>
      </c>
      <c r="F25" s="1074"/>
      <c r="G25" s="260">
        <f t="shared" si="1"/>
        <v>32</v>
      </c>
      <c r="H25" s="183">
        <v>32</v>
      </c>
      <c r="I25" s="121"/>
      <c r="J25" s="11"/>
      <c r="K25" s="661"/>
      <c r="L25" s="606"/>
      <c r="M25" s="11"/>
      <c r="N25" s="11"/>
      <c r="O25" s="11"/>
      <c r="P25" s="11"/>
    </row>
    <row r="26" spans="1:16" ht="23.25" customHeight="1">
      <c r="A26" s="1210"/>
      <c r="B26" s="1200" t="s">
        <v>414</v>
      </c>
      <c r="C26" s="298" t="s">
        <v>416</v>
      </c>
      <c r="D26" s="301" t="s">
        <v>52</v>
      </c>
      <c r="E26" s="295">
        <v>5.5</v>
      </c>
      <c r="F26" s="1074"/>
      <c r="G26" s="173">
        <f t="shared" si="1"/>
        <v>2058</v>
      </c>
      <c r="H26" s="183">
        <v>2058</v>
      </c>
      <c r="I26" s="121"/>
      <c r="J26" s="11"/>
      <c r="K26" s="661"/>
      <c r="L26" s="606"/>
      <c r="M26" s="11"/>
      <c r="N26" s="11"/>
      <c r="O26" s="11"/>
      <c r="P26" s="11"/>
    </row>
    <row r="27" spans="1:16" ht="23.25" customHeight="1">
      <c r="A27" s="1211"/>
      <c r="B27" s="1201"/>
      <c r="C27" s="299" t="s">
        <v>417</v>
      </c>
      <c r="D27" s="303" t="s">
        <v>52</v>
      </c>
      <c r="E27" s="296">
        <v>8.65</v>
      </c>
      <c r="F27" s="1074"/>
      <c r="G27" s="174">
        <f t="shared" si="1"/>
        <v>2139</v>
      </c>
      <c r="H27" s="183">
        <v>2139</v>
      </c>
      <c r="I27" s="121"/>
      <c r="J27" s="11"/>
      <c r="K27" s="661"/>
      <c r="L27" s="606"/>
      <c r="M27" s="11"/>
      <c r="N27" s="11"/>
      <c r="O27" s="11"/>
      <c r="P27" s="11"/>
    </row>
    <row r="28" spans="1:16" ht="23.25" customHeight="1">
      <c r="A28" s="1212"/>
      <c r="B28" s="1202"/>
      <c r="C28" s="300" t="s">
        <v>418</v>
      </c>
      <c r="D28" s="302" t="s">
        <v>52</v>
      </c>
      <c r="E28" s="297">
        <v>11.8</v>
      </c>
      <c r="F28" s="1082"/>
      <c r="G28" s="175">
        <f t="shared" si="1"/>
        <v>2707</v>
      </c>
      <c r="H28" s="183">
        <v>2707</v>
      </c>
      <c r="I28" s="121"/>
      <c r="J28" s="11"/>
      <c r="K28" s="661"/>
      <c r="L28" s="606"/>
      <c r="M28" s="11"/>
      <c r="N28" s="11"/>
      <c r="O28" s="11"/>
      <c r="P28" s="11"/>
    </row>
    <row r="29" spans="1:16" ht="56.1" customHeight="1">
      <c r="A29" s="265"/>
      <c r="B29" s="1203" t="s">
        <v>29</v>
      </c>
      <c r="C29" s="1204"/>
      <c r="D29" s="273" t="s">
        <v>31</v>
      </c>
      <c r="E29" s="160">
        <v>0.11</v>
      </c>
      <c r="F29" s="255" t="s">
        <v>289</v>
      </c>
      <c r="G29" s="260">
        <f t="shared" si="1"/>
        <v>32</v>
      </c>
      <c r="H29" s="183">
        <v>32</v>
      </c>
      <c r="I29" s="121"/>
      <c r="J29" s="11"/>
      <c r="K29" s="11"/>
      <c r="L29" s="11"/>
      <c r="M29" s="11"/>
      <c r="N29" s="11"/>
      <c r="O29" s="11"/>
      <c r="P29" s="11"/>
    </row>
    <row r="30" spans="1:16" ht="75" customHeight="1">
      <c r="A30" s="265"/>
      <c r="B30" s="1203" t="s">
        <v>4</v>
      </c>
      <c r="C30" s="1204"/>
      <c r="D30" s="273" t="s">
        <v>52</v>
      </c>
      <c r="E30" s="160">
        <v>9.6</v>
      </c>
      <c r="F30" s="257">
        <v>1</v>
      </c>
      <c r="G30" s="260">
        <f t="shared" si="1"/>
        <v>5770</v>
      </c>
      <c r="H30" s="183">
        <v>5770</v>
      </c>
      <c r="I30" s="121"/>
      <c r="J30" s="11"/>
      <c r="K30" s="11"/>
      <c r="L30" s="11"/>
      <c r="M30" s="11"/>
      <c r="N30" s="11"/>
      <c r="O30" s="11"/>
      <c r="P30" s="11"/>
    </row>
    <row r="31" spans="1:16">
      <c r="A31" s="1186"/>
      <c r="B31" s="289" t="s">
        <v>93</v>
      </c>
      <c r="C31" s="1183" t="s">
        <v>175</v>
      </c>
      <c r="D31" s="1183"/>
      <c r="E31" s="1183"/>
      <c r="F31" s="1188">
        <v>1</v>
      </c>
      <c r="G31" s="127">
        <f t="shared" si="1"/>
        <v>1026</v>
      </c>
      <c r="H31" s="183">
        <v>1026</v>
      </c>
      <c r="I31" s="121"/>
      <c r="J31" s="11"/>
      <c r="K31" s="11"/>
      <c r="L31" s="11"/>
      <c r="M31" s="11"/>
      <c r="N31" s="11"/>
      <c r="O31" s="11"/>
      <c r="P31" s="11"/>
    </row>
    <row r="32" spans="1:16">
      <c r="A32" s="1186"/>
      <c r="B32" s="290" t="s">
        <v>94</v>
      </c>
      <c r="C32" s="1191" t="s">
        <v>91</v>
      </c>
      <c r="D32" s="1192"/>
      <c r="E32" s="1193"/>
      <c r="F32" s="1189"/>
      <c r="G32" s="128">
        <f t="shared" si="1"/>
        <v>1539</v>
      </c>
      <c r="H32" s="183">
        <v>1539</v>
      </c>
      <c r="I32" s="121"/>
      <c r="J32" s="11"/>
      <c r="K32" s="11"/>
      <c r="L32" s="11"/>
      <c r="M32" s="11"/>
      <c r="N32" s="11"/>
      <c r="O32" s="11"/>
      <c r="P32" s="11"/>
    </row>
    <row r="33" spans="1:17">
      <c r="A33" s="1186"/>
      <c r="B33" s="290" t="s">
        <v>95</v>
      </c>
      <c r="C33" s="1194"/>
      <c r="D33" s="1195"/>
      <c r="E33" s="1196"/>
      <c r="F33" s="1189"/>
      <c r="G33" s="128">
        <f t="shared" si="1"/>
        <v>1228</v>
      </c>
      <c r="H33" s="183">
        <v>1228</v>
      </c>
      <c r="I33" s="121"/>
      <c r="J33" s="11"/>
      <c r="K33" s="11"/>
      <c r="L33" s="11"/>
      <c r="M33" s="11"/>
      <c r="N33" s="11"/>
      <c r="O33" s="11"/>
      <c r="P33" s="11"/>
    </row>
    <row r="34" spans="1:17">
      <c r="A34" s="1186"/>
      <c r="B34" s="290" t="s">
        <v>96</v>
      </c>
      <c r="C34" s="1194"/>
      <c r="D34" s="1195"/>
      <c r="E34" s="1196"/>
      <c r="F34" s="1189"/>
      <c r="G34" s="128">
        <f t="shared" si="1"/>
        <v>1929</v>
      </c>
      <c r="H34" s="183">
        <v>1929</v>
      </c>
      <c r="I34" s="121"/>
      <c r="J34" s="11"/>
      <c r="K34" s="11"/>
      <c r="L34" s="11"/>
      <c r="M34" s="11"/>
      <c r="N34" s="11"/>
      <c r="O34" s="11"/>
      <c r="P34" s="11"/>
    </row>
    <row r="35" spans="1:17">
      <c r="A35" s="1186"/>
      <c r="B35" s="291" t="s">
        <v>97</v>
      </c>
      <c r="C35" s="1197"/>
      <c r="D35" s="1198"/>
      <c r="E35" s="1199"/>
      <c r="F35" s="1190"/>
      <c r="G35" s="129">
        <f t="shared" si="1"/>
        <v>1924</v>
      </c>
      <c r="H35" s="183">
        <v>1924</v>
      </c>
      <c r="I35" s="121"/>
      <c r="J35" s="11"/>
      <c r="K35" s="11"/>
      <c r="L35" s="11"/>
      <c r="M35" s="11"/>
      <c r="N35" s="11"/>
      <c r="O35" s="11"/>
      <c r="P35" s="11"/>
    </row>
    <row r="36" spans="1:17" ht="23.25" customHeight="1">
      <c r="A36" s="1186"/>
      <c r="B36" s="289" t="s">
        <v>176</v>
      </c>
      <c r="C36" s="1183" t="s">
        <v>91</v>
      </c>
      <c r="D36" s="1183"/>
      <c r="E36" s="1183"/>
      <c r="F36" s="1188">
        <v>1</v>
      </c>
      <c r="G36" s="127">
        <f t="shared" si="1"/>
        <v>1800</v>
      </c>
      <c r="H36" s="183">
        <v>1800</v>
      </c>
      <c r="I36" s="121"/>
      <c r="J36" s="11"/>
      <c r="K36" s="11"/>
      <c r="L36" s="11"/>
      <c r="M36" s="11"/>
      <c r="N36" s="11"/>
      <c r="O36" s="11"/>
      <c r="P36" s="11"/>
    </row>
    <row r="37" spans="1:17" ht="23.25" customHeight="1">
      <c r="A37" s="1186"/>
      <c r="B37" s="290" t="s">
        <v>287</v>
      </c>
      <c r="C37" s="1184"/>
      <c r="D37" s="1184"/>
      <c r="E37" s="1184"/>
      <c r="F37" s="1189"/>
      <c r="G37" s="128">
        <f t="shared" si="1"/>
        <v>2075</v>
      </c>
      <c r="H37" s="183">
        <v>2075</v>
      </c>
      <c r="I37" s="121"/>
      <c r="J37" s="11"/>
      <c r="K37" s="11"/>
      <c r="L37" s="11"/>
      <c r="M37" s="11"/>
      <c r="N37" s="11"/>
      <c r="O37" s="11"/>
      <c r="P37" s="11"/>
    </row>
    <row r="38" spans="1:17" ht="23.25" customHeight="1">
      <c r="A38" s="1186"/>
      <c r="B38" s="291" t="s">
        <v>81</v>
      </c>
      <c r="C38" s="1185"/>
      <c r="D38" s="1185"/>
      <c r="E38" s="1185"/>
      <c r="F38" s="1190"/>
      <c r="G38" s="129">
        <f t="shared" si="1"/>
        <v>2862</v>
      </c>
      <c r="H38" s="183">
        <v>2862</v>
      </c>
      <c r="I38" s="121"/>
      <c r="J38" s="11"/>
      <c r="K38" s="11"/>
      <c r="L38" s="11"/>
      <c r="M38" s="11"/>
      <c r="N38" s="11"/>
      <c r="O38" s="11"/>
      <c r="P38" s="11"/>
    </row>
    <row r="39" spans="1:17" ht="23.25" customHeight="1">
      <c r="A39" s="1175"/>
      <c r="B39" s="288" t="s">
        <v>373</v>
      </c>
      <c r="C39" s="1207" t="s">
        <v>174</v>
      </c>
      <c r="D39" s="1178"/>
      <c r="E39" s="1179"/>
      <c r="F39" s="259">
        <v>1</v>
      </c>
      <c r="G39" s="130">
        <f t="shared" si="1"/>
        <v>2442</v>
      </c>
      <c r="H39" s="183">
        <v>2442</v>
      </c>
      <c r="I39" s="121"/>
      <c r="J39" s="11"/>
      <c r="K39" s="11"/>
      <c r="L39" s="11"/>
      <c r="M39" s="11"/>
      <c r="N39" s="11"/>
      <c r="O39" s="11"/>
      <c r="P39" s="11"/>
    </row>
    <row r="40" spans="1:17" ht="50.1" customHeight="1">
      <c r="A40" s="1176"/>
      <c r="B40" s="288" t="s">
        <v>374</v>
      </c>
      <c r="C40" s="1207" t="s">
        <v>174</v>
      </c>
      <c r="D40" s="1178"/>
      <c r="E40" s="1179"/>
      <c r="F40" s="259">
        <v>1</v>
      </c>
      <c r="G40" s="130">
        <f t="shared" si="1"/>
        <v>781</v>
      </c>
      <c r="H40" s="183">
        <v>781</v>
      </c>
      <c r="I40" s="121"/>
      <c r="J40" s="11"/>
      <c r="K40" s="11"/>
      <c r="L40" s="11"/>
      <c r="M40" s="11"/>
      <c r="N40" s="11"/>
      <c r="O40" s="11"/>
      <c r="P40" s="11"/>
    </row>
    <row r="41" spans="1:17" ht="50.1" customHeight="1">
      <c r="A41" s="14"/>
      <c r="B41" s="287" t="s">
        <v>79</v>
      </c>
      <c r="C41" s="1111" t="s">
        <v>74</v>
      </c>
      <c r="D41" s="1112"/>
      <c r="E41" s="21" t="s">
        <v>80</v>
      </c>
      <c r="F41" s="255">
        <v>1</v>
      </c>
      <c r="G41" s="125">
        <f t="shared" si="1"/>
        <v>255</v>
      </c>
      <c r="H41" s="183">
        <v>255</v>
      </c>
      <c r="I41" s="121"/>
      <c r="J41" s="11"/>
      <c r="K41" s="11"/>
      <c r="L41" s="11"/>
      <c r="M41" s="11"/>
      <c r="N41" s="11"/>
      <c r="O41" s="11"/>
      <c r="P41" s="11"/>
      <c r="Q41" s="11"/>
    </row>
    <row r="42" spans="1:17" ht="75" customHeight="1">
      <c r="A42" s="14"/>
      <c r="B42" s="287" t="s">
        <v>75</v>
      </c>
      <c r="C42" s="21" t="s">
        <v>183</v>
      </c>
      <c r="D42" s="294"/>
      <c r="E42" s="110">
        <v>2</v>
      </c>
      <c r="F42" s="255">
        <v>1</v>
      </c>
      <c r="G42" s="126">
        <f>ROUND(H42*(1-$B$57),2)</f>
        <v>26000</v>
      </c>
      <c r="H42" s="183">
        <v>26000</v>
      </c>
      <c r="I42" s="121"/>
      <c r="J42" s="11"/>
      <c r="K42" s="11"/>
      <c r="L42" s="11"/>
      <c r="M42" s="11"/>
      <c r="N42" s="11"/>
      <c r="O42" s="11"/>
      <c r="P42" s="11"/>
      <c r="Q42" s="11"/>
    </row>
    <row r="43" spans="1:17" ht="45" customHeight="1">
      <c r="A43" s="1108" t="s">
        <v>501</v>
      </c>
      <c r="B43" s="1108"/>
      <c r="C43" s="1108"/>
      <c r="D43" s="1108"/>
      <c r="E43" s="1108"/>
      <c r="F43" s="1108"/>
      <c r="G43" s="1108"/>
      <c r="H43" s="643"/>
      <c r="I43" s="644"/>
      <c r="J43" s="11"/>
      <c r="K43" s="11"/>
      <c r="L43" s="11"/>
      <c r="M43" s="11"/>
      <c r="N43" s="11"/>
      <c r="O43" s="11"/>
      <c r="P43" s="11"/>
      <c r="Q43" s="11"/>
    </row>
    <row r="44" spans="1:17" ht="25.5" customHeight="1">
      <c r="A44" s="1182"/>
      <c r="B44" s="1182"/>
      <c r="C44" s="1182"/>
      <c r="D44" s="1106" t="s">
        <v>32</v>
      </c>
      <c r="E44" s="1106"/>
      <c r="F44" s="1106"/>
      <c r="G44" s="1106"/>
      <c r="H44" s="180"/>
      <c r="I44" s="121"/>
      <c r="J44" s="11"/>
      <c r="K44" s="11"/>
      <c r="L44" s="11"/>
      <c r="M44" s="11"/>
      <c r="N44" s="11"/>
      <c r="O44" s="11"/>
      <c r="P44" s="11"/>
      <c r="Q44" s="11"/>
    </row>
    <row r="45" spans="1:17" ht="25.5" customHeight="1">
      <c r="A45" s="1182"/>
      <c r="B45" s="1182"/>
      <c r="C45" s="1182"/>
      <c r="D45" s="1106"/>
      <c r="E45" s="1106"/>
      <c r="F45" s="1106"/>
      <c r="G45" s="1106"/>
      <c r="H45" s="180"/>
      <c r="I45" s="121"/>
      <c r="J45" s="11"/>
      <c r="K45" s="11"/>
      <c r="L45" s="11"/>
      <c r="M45" s="11"/>
      <c r="N45" s="11"/>
      <c r="O45" s="11"/>
      <c r="P45" s="11"/>
      <c r="Q45" s="11"/>
    </row>
    <row r="46" spans="1:17" ht="25.5" customHeight="1">
      <c r="A46" s="1171" t="s">
        <v>595</v>
      </c>
      <c r="B46" s="1172" t="s">
        <v>596</v>
      </c>
      <c r="C46" s="1172"/>
      <c r="D46" s="1106"/>
      <c r="E46" s="1106"/>
      <c r="F46" s="1106"/>
      <c r="G46" s="1106"/>
      <c r="H46" s="181"/>
      <c r="I46" s="121"/>
      <c r="J46" s="11"/>
      <c r="K46" s="11"/>
      <c r="L46" s="11"/>
      <c r="M46" s="11"/>
      <c r="N46" s="11"/>
      <c r="O46" s="11"/>
      <c r="P46" s="11"/>
      <c r="Q46" s="11"/>
    </row>
    <row r="47" spans="1:17" ht="25.5" customHeight="1">
      <c r="A47" s="1171"/>
      <c r="B47" s="1172"/>
      <c r="C47" s="1172"/>
      <c r="D47" s="1107" t="s">
        <v>33</v>
      </c>
      <c r="E47" s="1107"/>
      <c r="F47" s="1107"/>
      <c r="G47" s="1107"/>
      <c r="H47" s="181"/>
      <c r="I47" s="121"/>
      <c r="J47" s="11"/>
      <c r="K47" s="11"/>
      <c r="L47" s="11"/>
      <c r="M47" s="11"/>
      <c r="N47" s="11"/>
      <c r="O47" s="11"/>
      <c r="P47" s="11"/>
      <c r="Q47" s="11"/>
    </row>
    <row r="48" spans="1:17" ht="23.25" customHeight="1">
      <c r="C48" s="475"/>
      <c r="D48" s="1107"/>
      <c r="E48" s="1107"/>
      <c r="F48" s="1107"/>
      <c r="G48" s="1107"/>
      <c r="H48" s="181"/>
      <c r="I48" s="121"/>
      <c r="J48" s="11"/>
      <c r="K48" s="11"/>
      <c r="L48" s="11"/>
      <c r="M48" s="11"/>
      <c r="N48" s="11"/>
      <c r="O48" s="11"/>
      <c r="P48" s="11"/>
      <c r="Q48" s="11"/>
    </row>
    <row r="49" spans="1:17" ht="23.25" customHeight="1">
      <c r="A49" s="1174" t="s">
        <v>611</v>
      </c>
      <c r="B49" s="1173" t="s">
        <v>608</v>
      </c>
      <c r="C49" s="638"/>
      <c r="D49" s="1180" t="s">
        <v>600</v>
      </c>
      <c r="E49" s="1180"/>
      <c r="F49" s="1180"/>
      <c r="G49" s="1180"/>
      <c r="H49" s="181"/>
      <c r="I49" s="121"/>
      <c r="J49" s="11"/>
      <c r="K49" s="11"/>
      <c r="L49" s="11"/>
      <c r="M49" s="11"/>
      <c r="N49" s="11"/>
      <c r="O49" s="11"/>
      <c r="P49" s="11"/>
      <c r="Q49" s="11"/>
    </row>
    <row r="50" spans="1:17" ht="30.75" customHeight="1">
      <c r="A50" s="1174"/>
      <c r="B50" s="1173"/>
      <c r="C50" s="646" t="s">
        <v>610</v>
      </c>
      <c r="D50" s="645" t="s">
        <v>601</v>
      </c>
      <c r="E50" s="645" t="s">
        <v>602</v>
      </c>
      <c r="F50" s="645" t="s">
        <v>603</v>
      </c>
      <c r="G50" s="645" t="s">
        <v>604</v>
      </c>
      <c r="H50" s="182"/>
      <c r="I50" s="121"/>
      <c r="J50" s="11"/>
      <c r="K50" s="11"/>
      <c r="L50" s="11"/>
      <c r="M50" s="11"/>
      <c r="N50" s="11"/>
      <c r="O50" s="11"/>
      <c r="P50" s="11"/>
      <c r="Q50" s="11"/>
    </row>
    <row r="51" spans="1:17" ht="69.95" customHeight="1">
      <c r="A51" s="1174"/>
      <c r="B51" s="1181" t="s">
        <v>607</v>
      </c>
      <c r="C51" s="646" t="s">
        <v>597</v>
      </c>
      <c r="D51" s="1177" t="s">
        <v>612</v>
      </c>
      <c r="E51" s="1178"/>
      <c r="F51" s="1178"/>
      <c r="G51" s="1179"/>
      <c r="H51" s="182"/>
      <c r="I51" s="121"/>
      <c r="J51" s="11"/>
      <c r="K51" s="11"/>
      <c r="L51" s="11"/>
      <c r="M51" s="11"/>
      <c r="N51" s="11"/>
      <c r="O51" s="11"/>
      <c r="P51" s="11"/>
      <c r="Q51" s="11"/>
    </row>
    <row r="52" spans="1:17" ht="99.95" customHeight="1">
      <c r="A52" s="701"/>
      <c r="B52" s="1181"/>
      <c r="C52" s="647" t="s">
        <v>598</v>
      </c>
      <c r="D52" s="642" t="s">
        <v>613</v>
      </c>
      <c r="E52" s="642" t="s">
        <v>605</v>
      </c>
      <c r="F52" s="642" t="s">
        <v>614</v>
      </c>
      <c r="G52" s="642" t="s">
        <v>616</v>
      </c>
      <c r="H52" s="182"/>
      <c r="I52" s="121"/>
      <c r="J52" s="11"/>
      <c r="K52" s="11"/>
      <c r="L52" s="11"/>
      <c r="M52" s="11"/>
      <c r="N52" s="11"/>
      <c r="O52" s="11"/>
      <c r="P52" s="11"/>
      <c r="Q52" s="11"/>
    </row>
    <row r="53" spans="1:17" s="641" customFormat="1" ht="80.25" customHeight="1">
      <c r="B53" s="79" t="s">
        <v>609</v>
      </c>
      <c r="C53" s="647" t="s">
        <v>599</v>
      </c>
      <c r="D53" s="642" t="s">
        <v>606</v>
      </c>
      <c r="E53" s="642" t="s">
        <v>605</v>
      </c>
      <c r="F53" s="642" t="s">
        <v>615</v>
      </c>
      <c r="G53" s="642" t="s">
        <v>617</v>
      </c>
      <c r="H53" s="182"/>
      <c r="I53" s="639"/>
      <c r="J53" s="640"/>
      <c r="K53" s="640"/>
      <c r="L53" s="640"/>
      <c r="M53" s="640"/>
      <c r="N53" s="640"/>
      <c r="O53" s="640"/>
      <c r="P53" s="640"/>
      <c r="Q53" s="640"/>
    </row>
    <row r="54" spans="1:17" ht="42" customHeight="1">
      <c r="A54" s="648"/>
      <c r="B54" s="649"/>
      <c r="H54" s="182"/>
      <c r="I54" s="121"/>
      <c r="J54" s="11"/>
      <c r="K54" s="11"/>
      <c r="L54" s="11"/>
      <c r="M54" s="11"/>
      <c r="N54" s="11"/>
      <c r="O54" s="11"/>
      <c r="P54" s="11"/>
      <c r="Q54" s="11"/>
    </row>
    <row r="55" spans="1:17" ht="42" customHeight="1">
      <c r="A55" s="648"/>
      <c r="B55" s="649"/>
      <c r="H55" s="182"/>
      <c r="I55" s="121"/>
      <c r="J55" s="11"/>
      <c r="K55" s="11"/>
      <c r="L55" s="11"/>
      <c r="M55" s="11"/>
      <c r="N55" s="11"/>
      <c r="O55" s="11"/>
      <c r="P55" s="11"/>
      <c r="Q55" s="11"/>
    </row>
    <row r="56" spans="1:17" ht="15.75" customHeight="1">
      <c r="B56" s="11"/>
      <c r="C56" s="11"/>
      <c r="D56" s="11"/>
      <c r="E56" s="11"/>
      <c r="F56" s="11"/>
      <c r="G56" s="11"/>
      <c r="H56" s="180"/>
      <c r="I56" s="11"/>
      <c r="J56" s="11"/>
      <c r="K56" s="11"/>
      <c r="L56" s="11"/>
      <c r="M56" s="11"/>
      <c r="N56" s="11"/>
      <c r="O56" s="11"/>
      <c r="P56" s="11"/>
      <c r="Q56" s="11"/>
    </row>
    <row r="57" spans="1:17" ht="33.75" hidden="1">
      <c r="A57" s="268" t="s">
        <v>115</v>
      </c>
      <c r="B57" s="82">
        <v>0</v>
      </c>
      <c r="C57" s="11"/>
      <c r="D57" s="11"/>
      <c r="E57" s="11"/>
      <c r="F57" s="11"/>
      <c r="G57" s="11"/>
      <c r="H57" s="180"/>
      <c r="I57" s="11"/>
      <c r="J57" s="33"/>
      <c r="K57" s="33"/>
      <c r="L57" s="33"/>
      <c r="M57" s="33"/>
      <c r="N57" s="33"/>
      <c r="O57" s="33"/>
      <c r="P57" s="33"/>
      <c r="Q57" s="34"/>
    </row>
    <row r="58" spans="1:17">
      <c r="A58" s="35"/>
      <c r="B58" s="11"/>
      <c r="C58" s="11"/>
      <c r="D58" s="11"/>
      <c r="E58" s="11"/>
      <c r="F58" s="11"/>
      <c r="G58" s="11"/>
      <c r="H58" s="180"/>
      <c r="I58" s="11"/>
      <c r="J58" s="33"/>
      <c r="K58" s="33"/>
      <c r="L58" s="33"/>
      <c r="M58" s="33"/>
      <c r="N58" s="33"/>
      <c r="O58" s="33"/>
      <c r="P58" s="33"/>
      <c r="Q58" s="34"/>
    </row>
    <row r="59" spans="1:17" ht="14.25" customHeight="1">
      <c r="A59" s="33"/>
      <c r="B59" s="33"/>
      <c r="C59" s="33"/>
      <c r="D59" s="33"/>
      <c r="E59" s="33"/>
      <c r="F59" s="33"/>
      <c r="G59" s="33"/>
      <c r="H59" s="149"/>
      <c r="I59" s="33"/>
      <c r="J59" s="33"/>
      <c r="K59" s="33"/>
      <c r="L59" s="33"/>
      <c r="M59" s="33"/>
      <c r="N59" s="33"/>
      <c r="O59" s="33"/>
      <c r="P59" s="33"/>
      <c r="Q59" s="11"/>
    </row>
    <row r="60" spans="1:17">
      <c r="A60" s="33"/>
      <c r="B60" s="33"/>
      <c r="C60" s="33"/>
      <c r="D60" s="33"/>
      <c r="E60" s="33"/>
      <c r="F60" s="33"/>
      <c r="G60" s="33"/>
      <c r="H60" s="149"/>
      <c r="I60" s="33"/>
      <c r="J60" s="11"/>
      <c r="K60" s="11"/>
      <c r="L60" s="11"/>
      <c r="M60" s="11"/>
      <c r="N60" s="11"/>
      <c r="O60" s="11"/>
      <c r="P60" s="11"/>
      <c r="Q60" s="11"/>
    </row>
    <row r="61" spans="1:17">
      <c r="A61" s="33"/>
      <c r="B61" s="33"/>
      <c r="C61" s="33"/>
      <c r="D61" s="33"/>
      <c r="E61" s="33"/>
      <c r="F61" s="33"/>
      <c r="G61" s="33"/>
      <c r="H61" s="149"/>
      <c r="I61" s="33"/>
    </row>
    <row r="62" spans="1:17">
      <c r="A62" s="11"/>
      <c r="B62" s="11"/>
      <c r="C62" s="11"/>
      <c r="D62" s="11"/>
      <c r="E62" s="11"/>
      <c r="F62" s="11"/>
      <c r="G62" s="11"/>
      <c r="H62" s="180"/>
      <c r="I62" s="11"/>
    </row>
  </sheetData>
  <mergeCells count="42">
    <mergeCell ref="A31:A35"/>
    <mergeCell ref="A39:A40"/>
    <mergeCell ref="C39:E39"/>
    <mergeCell ref="C40:E40"/>
    <mergeCell ref="A19:A20"/>
    <mergeCell ref="B19:B20"/>
    <mergeCell ref="A26:A28"/>
    <mergeCell ref="B21:C21"/>
    <mergeCell ref="B22:C22"/>
    <mergeCell ref="A23:A24"/>
    <mergeCell ref="B23:B24"/>
    <mergeCell ref="B2:D2"/>
    <mergeCell ref="B3:C3"/>
    <mergeCell ref="F36:F38"/>
    <mergeCell ref="C32:E35"/>
    <mergeCell ref="B26:B28"/>
    <mergeCell ref="B16:C16"/>
    <mergeCell ref="F23:F28"/>
    <mergeCell ref="B25:C25"/>
    <mergeCell ref="B17:C17"/>
    <mergeCell ref="B18:C18"/>
    <mergeCell ref="C31:E31"/>
    <mergeCell ref="F31:F35"/>
    <mergeCell ref="B29:C29"/>
    <mergeCell ref="B30:C30"/>
    <mergeCell ref="B14:C14"/>
    <mergeCell ref="A46:A47"/>
    <mergeCell ref="B46:C47"/>
    <mergeCell ref="B49:B50"/>
    <mergeCell ref="A49:A51"/>
    <mergeCell ref="A9:A10"/>
    <mergeCell ref="A43:G43"/>
    <mergeCell ref="D51:G51"/>
    <mergeCell ref="D49:G49"/>
    <mergeCell ref="B51:B52"/>
    <mergeCell ref="D44:G46"/>
    <mergeCell ref="D47:G48"/>
    <mergeCell ref="A44:C45"/>
    <mergeCell ref="B15:C15"/>
    <mergeCell ref="C36:E38"/>
    <mergeCell ref="A36:A38"/>
    <mergeCell ref="C41:D41"/>
  </mergeCells>
  <printOptions horizontalCentered="1"/>
  <pageMargins left="0" right="0" top="0" bottom="0" header="0" footer="0"/>
  <pageSetup paperSize="9" scale="35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tabColor rgb="FFC00000"/>
    <pageSetUpPr fitToPage="1"/>
  </sheetPr>
  <dimension ref="A1:BW91"/>
  <sheetViews>
    <sheetView showGridLines="0" topLeftCell="A55" zoomScale="55" zoomScaleNormal="55" zoomScaleSheetLayoutView="25" zoomScalePageLayoutView="25" workbookViewId="0">
      <selection activeCell="H69" sqref="H69"/>
    </sheetView>
  </sheetViews>
  <sheetFormatPr defaultRowHeight="30"/>
  <cols>
    <col min="1" max="1" width="29.85546875" style="8" customWidth="1"/>
    <col min="2" max="2" width="26.7109375" style="8" customWidth="1"/>
    <col min="3" max="3" width="22.5703125" style="8" customWidth="1"/>
    <col min="4" max="5" width="16.7109375" style="8" customWidth="1"/>
    <col min="6" max="17" width="21.140625" style="8" customWidth="1"/>
    <col min="18" max="18" width="21.140625" customWidth="1"/>
    <col min="19" max="19" width="11" style="390" hidden="1" customWidth="1"/>
    <col min="20" max="20" width="14.85546875" style="221" hidden="1" customWidth="1"/>
    <col min="21" max="21" width="17" style="221" hidden="1" customWidth="1"/>
    <col min="22" max="22" width="6.28515625" style="221" hidden="1" customWidth="1"/>
    <col min="23" max="27" width="14.85546875" style="221" hidden="1" customWidth="1"/>
    <col min="28" max="32" width="17.42578125" style="221" hidden="1" customWidth="1"/>
    <col min="33" max="33" width="9.140625" style="221" hidden="1" customWidth="1"/>
    <col min="34" max="34" width="17.42578125" style="221" hidden="1" customWidth="1"/>
    <col min="35" max="35" width="9.140625" style="60"/>
    <col min="36" max="37" width="14.85546875" style="60" bestFit="1" customWidth="1"/>
    <col min="38" max="38" width="4.7109375" style="60" bestFit="1" customWidth="1"/>
    <col min="39" max="42" width="14.85546875" style="60" bestFit="1" customWidth="1"/>
    <col min="43" max="46" width="17.42578125" style="60" bestFit="1" customWidth="1"/>
    <col min="47" max="48" width="17.42578125" bestFit="1" customWidth="1"/>
    <col min="49" max="49" width="4.7109375" bestFit="1" customWidth="1"/>
    <col min="50" max="50" width="17.42578125" bestFit="1" customWidth="1"/>
    <col min="51" max="51" width="4.7109375" bestFit="1" customWidth="1"/>
    <col min="52" max="53" width="14.85546875" bestFit="1" customWidth="1"/>
    <col min="54" max="54" width="4.7109375" bestFit="1" customWidth="1"/>
    <col min="55" max="58" width="14.85546875" bestFit="1" customWidth="1"/>
    <col min="59" max="59" width="17.42578125" bestFit="1" customWidth="1"/>
  </cols>
  <sheetData>
    <row r="1" spans="1:59" ht="75.75" customHeight="1">
      <c r="A1" s="209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440"/>
    </row>
    <row r="2" spans="1:59" ht="33" customHeight="1">
      <c r="C2" s="1067" t="s">
        <v>438</v>
      </c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Q2" s="411"/>
      <c r="R2" s="532"/>
      <c r="S2" s="423"/>
    </row>
    <row r="3" spans="1:59" s="410" customFormat="1" ht="27.75" customHeight="1">
      <c r="A3" s="1226" t="s">
        <v>116</v>
      </c>
      <c r="B3" s="1229" t="s">
        <v>189</v>
      </c>
      <c r="C3" s="1229" t="s">
        <v>106</v>
      </c>
      <c r="D3" s="1226" t="s">
        <v>190</v>
      </c>
      <c r="E3" s="1226"/>
      <c r="F3" s="1235" t="s">
        <v>191</v>
      </c>
      <c r="G3" s="1236"/>
      <c r="H3" s="1236"/>
      <c r="I3" s="1236"/>
      <c r="J3" s="1236"/>
      <c r="K3" s="1236"/>
      <c r="L3" s="1236"/>
      <c r="M3" s="1236"/>
      <c r="N3" s="1236"/>
      <c r="O3" s="1236"/>
      <c r="P3" s="1236"/>
      <c r="Q3" s="1236"/>
      <c r="R3" s="1237"/>
      <c r="S3" s="389"/>
      <c r="T3" s="1359" t="s">
        <v>66</v>
      </c>
      <c r="U3" s="1359"/>
      <c r="V3" s="1359"/>
      <c r="W3" s="1359"/>
      <c r="X3" s="1359"/>
      <c r="Y3" s="1359"/>
      <c r="Z3" s="1359"/>
      <c r="AA3" s="1359"/>
      <c r="AB3" s="1359"/>
      <c r="AC3" s="1359"/>
      <c r="AD3" s="1359"/>
      <c r="AE3" s="1359"/>
      <c r="AF3" s="1359"/>
      <c r="AG3" s="1359"/>
      <c r="AH3" s="1359"/>
      <c r="AI3" s="409"/>
      <c r="AJ3" s="409"/>
      <c r="AK3" s="409"/>
      <c r="AL3" s="409"/>
      <c r="AM3" s="409"/>
      <c r="AN3" s="409"/>
      <c r="AO3" s="409"/>
      <c r="AP3" s="409"/>
      <c r="AQ3" s="409"/>
      <c r="AR3" s="409"/>
      <c r="AS3" s="409"/>
      <c r="AT3" s="409"/>
    </row>
    <row r="4" spans="1:59" s="410" customFormat="1" ht="27.75" customHeight="1">
      <c r="A4" s="1226"/>
      <c r="B4" s="1231"/>
      <c r="C4" s="1231"/>
      <c r="D4" s="1226"/>
      <c r="E4" s="1226"/>
      <c r="F4" s="367">
        <v>3</v>
      </c>
      <c r="G4" s="404">
        <v>3.5</v>
      </c>
      <c r="H4" s="367">
        <v>4</v>
      </c>
      <c r="I4" s="367">
        <v>4.5</v>
      </c>
      <c r="J4" s="367">
        <v>5</v>
      </c>
      <c r="K4" s="367">
        <v>5.5</v>
      </c>
      <c r="L4" s="367">
        <v>6</v>
      </c>
      <c r="M4" s="367">
        <v>6.5</v>
      </c>
      <c r="N4" s="367">
        <v>7</v>
      </c>
      <c r="O4" s="367">
        <v>7.5</v>
      </c>
      <c r="P4" s="367">
        <v>8</v>
      </c>
      <c r="Q4" s="404">
        <v>8.5</v>
      </c>
      <c r="R4" s="367">
        <v>9</v>
      </c>
      <c r="S4" s="389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</row>
    <row r="5" spans="1:59" ht="27.75" customHeight="1">
      <c r="A5" s="1362"/>
      <c r="B5" s="1361" t="s">
        <v>526</v>
      </c>
      <c r="C5" s="1227" t="s">
        <v>525</v>
      </c>
      <c r="D5" s="1360">
        <v>1.53</v>
      </c>
      <c r="E5" s="1360"/>
      <c r="F5" s="386">
        <f>ROUND(T5*(1-$G$63),2)</f>
        <v>31389</v>
      </c>
      <c r="G5" s="408">
        <f>ROUND(U5*(1-$G$63),2)</f>
        <v>37312</v>
      </c>
      <c r="H5" s="386" t="str">
        <f>ROUND(W5*(1-$G$63),2)&amp;"*"</f>
        <v>39740*</v>
      </c>
      <c r="I5" s="386">
        <f t="shared" ref="I5:Q8" si="0">ROUND(X5*(1-$G$63),2)</f>
        <v>42405</v>
      </c>
      <c r="J5" s="386">
        <f t="shared" si="0"/>
        <v>47143</v>
      </c>
      <c r="K5" s="386">
        <f t="shared" si="0"/>
        <v>57567</v>
      </c>
      <c r="L5" s="386">
        <f t="shared" si="0"/>
        <v>62779</v>
      </c>
      <c r="M5" s="386">
        <f t="shared" si="0"/>
        <v>67990</v>
      </c>
      <c r="N5" s="386">
        <f t="shared" si="0"/>
        <v>73084</v>
      </c>
      <c r="O5" s="386">
        <f t="shared" si="0"/>
        <v>78474</v>
      </c>
      <c r="P5" s="386">
        <f t="shared" si="0"/>
        <v>83685</v>
      </c>
      <c r="Q5" s="408">
        <f t="shared" si="0"/>
        <v>88897</v>
      </c>
      <c r="R5" s="386">
        <f>ROUND(AH5*(1-$G$63),2)</f>
        <v>94760</v>
      </c>
      <c r="S5" s="420"/>
      <c r="T5" s="442">
        <v>31389</v>
      </c>
      <c r="U5" s="442">
        <v>37312</v>
      </c>
      <c r="V5" s="442">
        <v>0</v>
      </c>
      <c r="W5" s="442">
        <v>39740</v>
      </c>
      <c r="X5" s="442">
        <v>42405</v>
      </c>
      <c r="Y5" s="442">
        <v>47143</v>
      </c>
      <c r="Z5" s="442">
        <v>57567</v>
      </c>
      <c r="AA5" s="442">
        <v>62779</v>
      </c>
      <c r="AB5" s="442">
        <v>67990</v>
      </c>
      <c r="AC5" s="442">
        <v>73084</v>
      </c>
      <c r="AD5" s="442">
        <v>78474</v>
      </c>
      <c r="AE5" s="442">
        <v>83685</v>
      </c>
      <c r="AF5" s="442">
        <v>88897</v>
      </c>
      <c r="AG5" s="442">
        <v>0</v>
      </c>
      <c r="AH5" s="442">
        <v>94760</v>
      </c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</row>
    <row r="6" spans="1:59" ht="27.75" customHeight="1">
      <c r="A6" s="1362"/>
      <c r="B6" s="1361"/>
      <c r="C6" s="1227"/>
      <c r="D6" s="1361">
        <v>1.73</v>
      </c>
      <c r="E6" s="1361"/>
      <c r="F6" s="386">
        <f>ROUND(T6*(1-$G$63),2)</f>
        <v>36127</v>
      </c>
      <c r="G6" s="408">
        <f>ROUND(U6*(1-$G$63),2)</f>
        <v>41458</v>
      </c>
      <c r="H6" s="386" t="str">
        <f>ROUND(W6*(1-$G$63),2)&amp;"*"</f>
        <v>42405*</v>
      </c>
      <c r="I6" s="386">
        <f t="shared" si="0"/>
        <v>47972</v>
      </c>
      <c r="J6" s="386">
        <f t="shared" si="0"/>
        <v>53421</v>
      </c>
      <c r="K6" s="386">
        <f t="shared" si="0"/>
        <v>65266</v>
      </c>
      <c r="L6" s="386">
        <f t="shared" si="0"/>
        <v>71070</v>
      </c>
      <c r="M6" s="386">
        <f t="shared" si="0"/>
        <v>77111</v>
      </c>
      <c r="N6" s="386">
        <f t="shared" si="0"/>
        <v>82975</v>
      </c>
      <c r="O6" s="386">
        <f t="shared" si="0"/>
        <v>88956</v>
      </c>
      <c r="P6" s="386">
        <f t="shared" si="0"/>
        <v>94820</v>
      </c>
      <c r="Q6" s="408">
        <f t="shared" si="0"/>
        <v>100742</v>
      </c>
      <c r="R6" s="386">
        <f>ROUND(AH6*(1-$G$63),2)</f>
        <v>106665</v>
      </c>
      <c r="S6" s="420"/>
      <c r="T6" s="442">
        <v>36127</v>
      </c>
      <c r="U6" s="442">
        <v>41458</v>
      </c>
      <c r="V6" s="442">
        <v>0</v>
      </c>
      <c r="W6" s="442">
        <v>42405</v>
      </c>
      <c r="X6" s="442">
        <v>47972</v>
      </c>
      <c r="Y6" s="442">
        <v>53421</v>
      </c>
      <c r="Z6" s="442">
        <v>65266</v>
      </c>
      <c r="AA6" s="442">
        <v>71070</v>
      </c>
      <c r="AB6" s="442">
        <v>77111</v>
      </c>
      <c r="AC6" s="442">
        <v>82975</v>
      </c>
      <c r="AD6" s="442">
        <v>88956</v>
      </c>
      <c r="AE6" s="442">
        <v>94820</v>
      </c>
      <c r="AF6" s="442">
        <v>100742</v>
      </c>
      <c r="AG6" s="442">
        <v>0</v>
      </c>
      <c r="AH6" s="442">
        <v>106665</v>
      </c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</row>
    <row r="7" spans="1:59" ht="27.75" customHeight="1">
      <c r="A7" s="1362"/>
      <c r="B7" s="1361"/>
      <c r="C7" s="1227"/>
      <c r="D7" s="1361">
        <v>2.0299999999999998</v>
      </c>
      <c r="E7" s="1361"/>
      <c r="F7" s="386" t="str">
        <f>ROUND(T7*(1-$G$63),2)&amp;"*"</f>
        <v>40273*</v>
      </c>
      <c r="G7" s="408">
        <f>ROUND(U7*(1-$G$63),2)</f>
        <v>43531</v>
      </c>
      <c r="H7" s="386" t="str">
        <f>ROUND(W7*(1-$G$63),2)&amp;"**"</f>
        <v>44419**</v>
      </c>
      <c r="I7" s="386">
        <f>ROUND(X7*(1-$G$63),2)</f>
        <v>56501</v>
      </c>
      <c r="J7" s="386" t="str">
        <f>ROUND(Y7*(1-$G$63),2)&amp;"*"</f>
        <v>62779*</v>
      </c>
      <c r="K7" s="386">
        <f t="shared" si="0"/>
        <v>76697</v>
      </c>
      <c r="L7" s="386" t="str">
        <f>ROUND(AA7*(1-$G$63),2)&amp;"*"</f>
        <v>83685*</v>
      </c>
      <c r="M7" s="386">
        <f t="shared" si="0"/>
        <v>90614</v>
      </c>
      <c r="N7" s="386">
        <f t="shared" si="0"/>
        <v>97603</v>
      </c>
      <c r="O7" s="386">
        <f t="shared" si="0"/>
        <v>104591</v>
      </c>
      <c r="P7" s="386">
        <f t="shared" si="0"/>
        <v>111580</v>
      </c>
      <c r="Q7" s="408">
        <f t="shared" si="0"/>
        <v>118510</v>
      </c>
      <c r="R7" s="386">
        <f>ROUND(AH7*(1-$G$63),2)</f>
        <v>125557</v>
      </c>
      <c r="S7" s="420"/>
      <c r="T7" s="442">
        <v>40273</v>
      </c>
      <c r="U7" s="442">
        <v>43531</v>
      </c>
      <c r="V7" s="442">
        <v>0</v>
      </c>
      <c r="W7" s="442">
        <v>44419</v>
      </c>
      <c r="X7" s="442">
        <v>56501</v>
      </c>
      <c r="Y7" s="442">
        <v>62779</v>
      </c>
      <c r="Z7" s="442">
        <v>76697</v>
      </c>
      <c r="AA7" s="442">
        <v>83685</v>
      </c>
      <c r="AB7" s="442">
        <v>90614</v>
      </c>
      <c r="AC7" s="442">
        <v>97603</v>
      </c>
      <c r="AD7" s="442">
        <v>104591</v>
      </c>
      <c r="AE7" s="442">
        <v>111580</v>
      </c>
      <c r="AF7" s="442">
        <v>118510</v>
      </c>
      <c r="AG7" s="442">
        <v>0</v>
      </c>
      <c r="AH7" s="442">
        <v>125557</v>
      </c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</row>
    <row r="8" spans="1:59" ht="27.75" customHeight="1">
      <c r="A8" s="1362"/>
      <c r="B8" s="1361"/>
      <c r="C8" s="1227"/>
      <c r="D8" s="1361">
        <v>2.4300000000000002</v>
      </c>
      <c r="E8" s="1361"/>
      <c r="F8" s="386">
        <f>ROUND(T8*(1-$G$63),2)</f>
        <v>48980</v>
      </c>
      <c r="G8" s="408">
        <f>ROUND(U8*(1-$G$63),2)</f>
        <v>52118</v>
      </c>
      <c r="H8" s="386" t="str">
        <f>ROUND(W8*(1-$G$63),2)&amp;"*"</f>
        <v>53895*</v>
      </c>
      <c r="I8" s="386">
        <f t="shared" si="0"/>
        <v>68168</v>
      </c>
      <c r="J8" s="386">
        <f t="shared" si="0"/>
        <v>75275</v>
      </c>
      <c r="K8" s="386">
        <f t="shared" si="0"/>
        <v>92036</v>
      </c>
      <c r="L8" s="386">
        <f t="shared" si="0"/>
        <v>100446</v>
      </c>
      <c r="M8" s="386">
        <f t="shared" si="0"/>
        <v>108856</v>
      </c>
      <c r="N8" s="386">
        <f t="shared" si="0"/>
        <v>117147</v>
      </c>
      <c r="O8" s="386">
        <f t="shared" si="0"/>
        <v>125439</v>
      </c>
      <c r="P8" s="386">
        <f t="shared" si="0"/>
        <v>133849</v>
      </c>
      <c r="Q8" s="408">
        <f t="shared" si="0"/>
        <v>142140</v>
      </c>
      <c r="R8" s="386">
        <f>ROUND(AH8*(1-$G$63),2)</f>
        <v>150550</v>
      </c>
      <c r="S8" s="420"/>
      <c r="T8" s="442">
        <v>48980</v>
      </c>
      <c r="U8" s="442">
        <v>52118</v>
      </c>
      <c r="V8" s="442">
        <v>0</v>
      </c>
      <c r="W8" s="442">
        <v>53895</v>
      </c>
      <c r="X8" s="442">
        <v>68168</v>
      </c>
      <c r="Y8" s="442">
        <v>75275</v>
      </c>
      <c r="Z8" s="442">
        <v>92036</v>
      </c>
      <c r="AA8" s="442">
        <v>100446</v>
      </c>
      <c r="AB8" s="442">
        <v>108856</v>
      </c>
      <c r="AC8" s="442">
        <v>117147</v>
      </c>
      <c r="AD8" s="442">
        <v>125439</v>
      </c>
      <c r="AE8" s="442">
        <v>133849</v>
      </c>
      <c r="AF8" s="442">
        <v>142140</v>
      </c>
      <c r="AG8" s="442">
        <v>0</v>
      </c>
      <c r="AH8" s="442">
        <v>150550</v>
      </c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</row>
    <row r="9" spans="1:59" ht="15" customHeight="1">
      <c r="A9" s="316"/>
      <c r="B9" s="384"/>
      <c r="C9" s="387"/>
      <c r="D9" s="384"/>
      <c r="E9" s="384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  <c r="S9" s="420"/>
    </row>
    <row r="10" spans="1:59" s="438" customFormat="1" ht="35.1" customHeight="1">
      <c r="A10" s="1226" t="s">
        <v>116</v>
      </c>
      <c r="B10" s="1228" t="s">
        <v>189</v>
      </c>
      <c r="C10" s="1228" t="s">
        <v>106</v>
      </c>
      <c r="D10" s="1364" t="s">
        <v>190</v>
      </c>
      <c r="E10" s="1365"/>
      <c r="F10" s="1235" t="s">
        <v>191</v>
      </c>
      <c r="G10" s="1237"/>
      <c r="J10" s="1228" t="s">
        <v>445</v>
      </c>
      <c r="K10" s="1228"/>
      <c r="L10" s="1281" t="s">
        <v>507</v>
      </c>
      <c r="M10" s="1281"/>
      <c r="N10" s="1281"/>
      <c r="O10" s="1281"/>
      <c r="P10" s="1281"/>
      <c r="Q10" s="1281"/>
      <c r="R10" s="1281"/>
      <c r="S10" s="424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  <c r="AF10" s="429"/>
      <c r="AG10" s="429"/>
      <c r="AH10" s="429"/>
      <c r="AI10" s="437"/>
      <c r="AJ10" s="437"/>
      <c r="AK10" s="437"/>
      <c r="AL10" s="437"/>
      <c r="AM10" s="437"/>
      <c r="AN10" s="437"/>
      <c r="AO10" s="437"/>
      <c r="AP10" s="437"/>
      <c r="AQ10" s="437"/>
      <c r="AR10" s="437"/>
      <c r="AS10" s="437"/>
      <c r="AT10" s="437"/>
    </row>
    <row r="11" spans="1:59" s="438" customFormat="1" ht="24.95" customHeight="1">
      <c r="A11" s="1226"/>
      <c r="B11" s="1228"/>
      <c r="C11" s="1228"/>
      <c r="D11" s="1366"/>
      <c r="E11" s="1367"/>
      <c r="F11" s="367">
        <v>1</v>
      </c>
      <c r="G11" s="405">
        <v>1.25</v>
      </c>
      <c r="J11" s="1228"/>
      <c r="K11" s="1228"/>
      <c r="L11" s="1281"/>
      <c r="M11" s="1281"/>
      <c r="N11" s="1281"/>
      <c r="O11" s="1281"/>
      <c r="P11" s="1281"/>
      <c r="Q11" s="1281"/>
      <c r="R11" s="1281"/>
      <c r="S11" s="420"/>
      <c r="T11" s="443"/>
      <c r="U11" s="458"/>
      <c r="V11" s="458"/>
      <c r="W11" s="458"/>
      <c r="X11" s="429"/>
      <c r="Y11" s="429"/>
      <c r="Z11" s="429"/>
      <c r="AA11" s="429"/>
      <c r="AB11" s="429"/>
      <c r="AC11" s="429"/>
      <c r="AD11" s="429"/>
      <c r="AE11" s="429"/>
      <c r="AF11" s="429"/>
      <c r="AG11" s="429"/>
      <c r="AH11" s="429"/>
      <c r="AI11" s="437"/>
      <c r="AJ11" s="437"/>
      <c r="AK11" s="437"/>
      <c r="AL11" s="437"/>
      <c r="AM11" s="437"/>
      <c r="AN11" s="437"/>
      <c r="AO11" s="437"/>
      <c r="AP11" s="437"/>
      <c r="AQ11" s="437"/>
      <c r="AR11" s="437"/>
      <c r="AS11" s="437"/>
      <c r="AT11" s="437"/>
    </row>
    <row r="12" spans="1:59" s="438" customFormat="1" ht="24.95" customHeight="1">
      <c r="A12" s="1346"/>
      <c r="B12" s="1227" t="s">
        <v>527</v>
      </c>
      <c r="C12" s="1227" t="s">
        <v>525</v>
      </c>
      <c r="D12" s="1368">
        <v>1.03</v>
      </c>
      <c r="E12" s="1369"/>
      <c r="F12" s="375" t="str">
        <f>ROUND(T12*(1-$G$63),2)&amp;"*"</f>
        <v>13757*</v>
      </c>
      <c r="G12" s="406">
        <f>ROUND(U12*(1-$G$63),2)</f>
        <v>16517</v>
      </c>
      <c r="J12" s="1228"/>
      <c r="K12" s="1228"/>
      <c r="L12" s="1281"/>
      <c r="M12" s="1281"/>
      <c r="N12" s="1281"/>
      <c r="O12" s="1281"/>
      <c r="P12" s="1281"/>
      <c r="Q12" s="1281"/>
      <c r="R12" s="1281"/>
      <c r="S12" s="420"/>
      <c r="T12" s="442">
        <v>13757</v>
      </c>
      <c r="U12" s="442">
        <v>16517</v>
      </c>
      <c r="V12" s="390"/>
      <c r="W12" s="390"/>
      <c r="X12" s="390"/>
      <c r="Y12" s="429"/>
      <c r="Z12" s="429"/>
      <c r="AA12" s="429"/>
      <c r="AB12" s="429"/>
      <c r="AC12" s="429"/>
      <c r="AD12" s="429"/>
      <c r="AE12" s="429"/>
      <c r="AF12" s="429"/>
      <c r="AG12" s="429"/>
      <c r="AH12" s="429"/>
      <c r="AI12" s="437"/>
      <c r="AJ12" s="437"/>
      <c r="AK12" s="437"/>
      <c r="AL12" s="437"/>
      <c r="AM12" s="437"/>
      <c r="AN12" s="437"/>
      <c r="AO12" s="437"/>
      <c r="AP12" s="437"/>
      <c r="AQ12" s="437"/>
      <c r="AR12" s="437"/>
      <c r="AS12" s="437"/>
      <c r="AT12" s="437"/>
    </row>
    <row r="13" spans="1:59" s="438" customFormat="1" ht="24.95" customHeight="1">
      <c r="A13" s="1346"/>
      <c r="B13" s="1227"/>
      <c r="C13" s="1227"/>
      <c r="D13" s="1370">
        <v>1.53</v>
      </c>
      <c r="E13" s="1371"/>
      <c r="F13" s="377" t="str">
        <f>ROUND(T13*(1-$G$63),2)&amp;"*"</f>
        <v>15372*</v>
      </c>
      <c r="G13" s="407">
        <f>ROUND(U13*(1-$G$63),2)</f>
        <v>18470</v>
      </c>
      <c r="J13" s="1228"/>
      <c r="K13" s="1228"/>
      <c r="L13" s="1281"/>
      <c r="M13" s="1281"/>
      <c r="N13" s="1281"/>
      <c r="O13" s="1281"/>
      <c r="P13" s="1281"/>
      <c r="Q13" s="1281"/>
      <c r="R13" s="1281"/>
      <c r="S13" s="420"/>
      <c r="T13" s="442">
        <v>15372</v>
      </c>
      <c r="U13" s="442">
        <v>18470</v>
      </c>
      <c r="V13" s="390"/>
      <c r="W13" s="662"/>
      <c r="X13" s="390"/>
      <c r="Y13" s="429"/>
      <c r="Z13" s="429"/>
      <c r="AA13" s="429"/>
      <c r="AB13" s="429"/>
      <c r="AC13" s="429"/>
      <c r="AD13" s="429"/>
      <c r="AE13" s="429"/>
      <c r="AF13" s="429"/>
      <c r="AG13" s="429"/>
      <c r="AH13" s="429"/>
      <c r="AI13" s="437"/>
      <c r="AJ13" s="437"/>
      <c r="AK13" s="437"/>
      <c r="AL13" s="437"/>
      <c r="AM13" s="437"/>
      <c r="AN13" s="437"/>
      <c r="AO13" s="437"/>
      <c r="AP13" s="437"/>
      <c r="AQ13" s="437"/>
      <c r="AR13" s="437"/>
      <c r="AS13" s="437"/>
      <c r="AT13" s="437"/>
    </row>
    <row r="14" spans="1:59" s="438" customFormat="1" ht="24.95" customHeight="1">
      <c r="A14" s="1346"/>
      <c r="B14" s="1227"/>
      <c r="C14" s="1227"/>
      <c r="D14" s="1291">
        <v>1.73</v>
      </c>
      <c r="E14" s="1292"/>
      <c r="F14" s="377" t="str">
        <f>ROUND(T14*(1-$G$63),2)&amp;"*"</f>
        <v>17600*</v>
      </c>
      <c r="G14" s="407">
        <f>ROUND(U14*(1-$G$63),2)</f>
        <v>21082</v>
      </c>
      <c r="J14" s="1228"/>
      <c r="K14" s="1228"/>
      <c r="L14" s="1281"/>
      <c r="M14" s="1281"/>
      <c r="N14" s="1281"/>
      <c r="O14" s="1281"/>
      <c r="P14" s="1281"/>
      <c r="Q14" s="1281"/>
      <c r="R14" s="1281"/>
      <c r="S14" s="420"/>
      <c r="T14" s="442">
        <v>17600</v>
      </c>
      <c r="U14" s="442">
        <v>21082</v>
      </c>
      <c r="V14" s="390"/>
      <c r="W14" s="390"/>
      <c r="X14" s="390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37"/>
      <c r="AJ14" s="437"/>
      <c r="AK14" s="437"/>
      <c r="AL14" s="437"/>
      <c r="AM14" s="437"/>
      <c r="AN14" s="437"/>
      <c r="AO14" s="437"/>
      <c r="AP14" s="437"/>
      <c r="AQ14" s="437"/>
      <c r="AR14" s="437"/>
      <c r="AS14" s="437"/>
      <c r="AT14" s="437"/>
    </row>
    <row r="15" spans="1:59" s="438" customFormat="1">
      <c r="A15" s="1346"/>
      <c r="B15" s="1227"/>
      <c r="C15" s="1227"/>
      <c r="D15" s="1291">
        <v>2.0299999999999998</v>
      </c>
      <c r="E15" s="1292"/>
      <c r="F15" s="377" t="str">
        <f>ROUND(T15*(1-$G$63),2)&amp;"**"</f>
        <v>20522**</v>
      </c>
      <c r="G15" s="407">
        <f>ROUND(U15*(1-$G$63),2)</f>
        <v>24626</v>
      </c>
      <c r="K15" s="449"/>
      <c r="L15" s="449"/>
      <c r="M15" s="392"/>
      <c r="N15" s="392"/>
      <c r="O15" s="392"/>
      <c r="P15" s="392"/>
      <c r="Q15" s="392"/>
      <c r="R15" s="392"/>
      <c r="S15" s="420"/>
      <c r="T15" s="442">
        <v>20522</v>
      </c>
      <c r="U15" s="442">
        <v>24626</v>
      </c>
      <c r="V15" s="390"/>
      <c r="W15" s="390"/>
      <c r="X15" s="390"/>
      <c r="Y15" s="429"/>
      <c r="Z15" s="429"/>
      <c r="AA15" s="429"/>
      <c r="AB15" s="429"/>
      <c r="AC15" s="429"/>
      <c r="AD15" s="429"/>
      <c r="AE15" s="429"/>
      <c r="AF15" s="429"/>
      <c r="AG15" s="429"/>
      <c r="AH15" s="429"/>
      <c r="AI15" s="437"/>
      <c r="AJ15" s="437"/>
      <c r="AK15" s="437"/>
      <c r="AL15" s="437"/>
      <c r="AM15" s="437"/>
      <c r="AN15" s="437"/>
      <c r="AO15" s="437"/>
      <c r="AP15" s="437"/>
      <c r="AQ15" s="437"/>
      <c r="AR15" s="437"/>
      <c r="AS15" s="437"/>
      <c r="AT15" s="437"/>
    </row>
    <row r="16" spans="1:59" s="438" customFormat="1" ht="27.75" customHeight="1">
      <c r="A16" s="1346"/>
      <c r="B16" s="1227"/>
      <c r="C16" s="1227"/>
      <c r="D16" s="1293">
        <v>2.4300000000000002</v>
      </c>
      <c r="E16" s="1294"/>
      <c r="F16" s="379" t="str">
        <f>ROUND(T16*(1-$G$63),2)&amp;"*"</f>
        <v>23445*</v>
      </c>
      <c r="G16" s="439">
        <f>ROUND(U16*(1-$G$63),2)</f>
        <v>28109</v>
      </c>
      <c r="K16" s="1313" t="s">
        <v>189</v>
      </c>
      <c r="L16" s="1314"/>
      <c r="M16" s="1313" t="s">
        <v>58</v>
      </c>
      <c r="N16" s="1363"/>
      <c r="O16" s="1363"/>
      <c r="P16" s="1363"/>
      <c r="Q16" s="1314"/>
      <c r="R16" s="433" t="s">
        <v>294</v>
      </c>
      <c r="S16" s="420"/>
      <c r="T16" s="442">
        <v>23445</v>
      </c>
      <c r="U16" s="442">
        <v>28109</v>
      </c>
      <c r="V16" s="390"/>
      <c r="W16" s="390"/>
      <c r="X16" s="390"/>
      <c r="Y16" s="429"/>
      <c r="Z16" s="429"/>
      <c r="AA16" s="429"/>
      <c r="AB16" s="429"/>
      <c r="AC16" s="429"/>
      <c r="AD16" s="429"/>
      <c r="AE16" s="429"/>
      <c r="AF16" s="429"/>
      <c r="AG16" s="429"/>
      <c r="AH16" s="429"/>
      <c r="AI16" s="437"/>
      <c r="AJ16" s="437"/>
      <c r="AK16" s="437"/>
      <c r="AL16" s="437"/>
      <c r="AM16" s="437"/>
      <c r="AN16" s="437"/>
      <c r="AO16" s="437"/>
      <c r="AP16" s="437"/>
      <c r="AQ16" s="437"/>
      <c r="AR16" s="437"/>
      <c r="AS16" s="437"/>
      <c r="AT16" s="437"/>
    </row>
    <row r="17" spans="1:46" s="438" customFormat="1" ht="27.75" customHeight="1">
      <c r="A17" s="435"/>
      <c r="B17" s="435"/>
      <c r="C17" s="435"/>
      <c r="D17" s="434"/>
      <c r="E17" s="434"/>
      <c r="F17" s="434"/>
      <c r="G17" s="434"/>
      <c r="H17" s="434"/>
      <c r="I17" s="434"/>
      <c r="J17" s="434"/>
      <c r="K17" s="1295" t="s">
        <v>443</v>
      </c>
      <c r="L17" s="1296"/>
      <c r="M17" s="1301" t="s">
        <v>0</v>
      </c>
      <c r="N17" s="1302"/>
      <c r="O17" s="1302"/>
      <c r="P17" s="1302"/>
      <c r="Q17" s="1303"/>
      <c r="R17" s="1310">
        <f>ROUND(U17*(1-$G$63),2)</f>
        <v>39424</v>
      </c>
      <c r="S17" s="420"/>
      <c r="T17" s="221"/>
      <c r="U17" s="456">
        <v>39424</v>
      </c>
      <c r="V17" s="390"/>
      <c r="W17" s="390"/>
      <c r="X17" s="429"/>
      <c r="Y17" s="429"/>
      <c r="Z17" s="429"/>
      <c r="AA17" s="429"/>
      <c r="AB17" s="429"/>
      <c r="AC17" s="429"/>
      <c r="AD17" s="429"/>
      <c r="AE17" s="429"/>
      <c r="AF17" s="429"/>
      <c r="AG17" s="429"/>
      <c r="AH17" s="429"/>
      <c r="AI17" s="437"/>
      <c r="AJ17" s="437"/>
      <c r="AK17" s="437"/>
      <c r="AL17" s="437"/>
      <c r="AM17" s="437"/>
      <c r="AN17" s="437"/>
      <c r="AO17" s="437"/>
      <c r="AP17" s="437"/>
      <c r="AQ17" s="437"/>
      <c r="AR17" s="437"/>
      <c r="AS17" s="437"/>
      <c r="AT17" s="437"/>
    </row>
    <row r="18" spans="1:46" s="438" customFormat="1" ht="27.75" customHeight="1">
      <c r="A18" s="412" t="s">
        <v>116</v>
      </c>
      <c r="B18" s="1339" t="s">
        <v>189</v>
      </c>
      <c r="C18" s="1340"/>
      <c r="D18" s="1324" t="s">
        <v>446</v>
      </c>
      <c r="E18" s="1325"/>
      <c r="F18" s="1235" t="s">
        <v>117</v>
      </c>
      <c r="G18" s="1236"/>
      <c r="H18" s="403" t="s">
        <v>307</v>
      </c>
      <c r="I18" s="419" t="s">
        <v>294</v>
      </c>
      <c r="K18" s="1297"/>
      <c r="L18" s="1298"/>
      <c r="M18" s="1304"/>
      <c r="N18" s="1305"/>
      <c r="O18" s="1305"/>
      <c r="P18" s="1305"/>
      <c r="Q18" s="1306"/>
      <c r="R18" s="1311"/>
      <c r="S18" s="420"/>
      <c r="T18" s="221"/>
      <c r="U18" s="221"/>
      <c r="V18" s="221"/>
      <c r="W18" s="221"/>
      <c r="X18" s="429"/>
      <c r="Y18" s="429"/>
      <c r="Z18" s="429"/>
      <c r="AA18" s="429"/>
      <c r="AB18" s="429"/>
      <c r="AC18" s="429"/>
      <c r="AD18" s="429"/>
      <c r="AE18" s="429"/>
      <c r="AF18" s="429"/>
      <c r="AG18" s="429"/>
      <c r="AH18" s="429"/>
      <c r="AI18" s="437"/>
      <c r="AJ18" s="437"/>
      <c r="AK18" s="437"/>
      <c r="AL18" s="437"/>
      <c r="AM18" s="437"/>
      <c r="AN18" s="437"/>
      <c r="AO18" s="437"/>
      <c r="AP18" s="437"/>
      <c r="AQ18" s="437"/>
      <c r="AR18" s="437"/>
      <c r="AS18" s="437"/>
      <c r="AT18" s="437"/>
    </row>
    <row r="19" spans="1:46" s="438" customFormat="1" ht="27.75" customHeight="1">
      <c r="A19" s="1262"/>
      <c r="B19" s="1258" t="s">
        <v>228</v>
      </c>
      <c r="C19" s="1259"/>
      <c r="D19" s="1326" t="s">
        <v>450</v>
      </c>
      <c r="E19" s="1327"/>
      <c r="F19" s="1263" t="s">
        <v>324</v>
      </c>
      <c r="G19" s="1264"/>
      <c r="H19" s="444">
        <v>33</v>
      </c>
      <c r="I19" s="445">
        <f t="shared" ref="I19:I26" si="1">ROUND(T19*(1-$G$63),2)</f>
        <v>17689</v>
      </c>
      <c r="K19" s="1299"/>
      <c r="L19" s="1300"/>
      <c r="M19" s="1307"/>
      <c r="N19" s="1308"/>
      <c r="O19" s="1308"/>
      <c r="P19" s="1308"/>
      <c r="Q19" s="1309"/>
      <c r="R19" s="1312"/>
      <c r="S19" s="420"/>
      <c r="T19" s="442">
        <v>17689</v>
      </c>
      <c r="U19" s="221"/>
      <c r="V19" s="221"/>
      <c r="W19" s="663"/>
      <c r="X19" s="429"/>
      <c r="Y19" s="429"/>
      <c r="Z19" s="429"/>
      <c r="AA19" s="429"/>
      <c r="AB19" s="429"/>
      <c r="AC19" s="429"/>
      <c r="AD19" s="429"/>
      <c r="AE19" s="429"/>
      <c r="AF19" s="429"/>
      <c r="AG19" s="429"/>
      <c r="AH19" s="429"/>
      <c r="AI19" s="437"/>
      <c r="AJ19" s="437"/>
      <c r="AK19" s="437"/>
      <c r="AL19" s="437"/>
      <c r="AM19" s="437"/>
      <c r="AN19" s="437"/>
      <c r="AO19" s="437"/>
      <c r="AP19" s="437"/>
      <c r="AQ19" s="437"/>
      <c r="AR19" s="437"/>
      <c r="AS19" s="437"/>
      <c r="AT19" s="437"/>
    </row>
    <row r="20" spans="1:46" ht="27.75" customHeight="1">
      <c r="A20" s="1262"/>
      <c r="B20" s="1260"/>
      <c r="C20" s="1261"/>
      <c r="D20" s="1293" t="s">
        <v>452</v>
      </c>
      <c r="E20" s="1294"/>
      <c r="F20" s="1265"/>
      <c r="G20" s="1266"/>
      <c r="H20" s="454">
        <v>38</v>
      </c>
      <c r="I20" s="446">
        <f t="shared" si="1"/>
        <v>19805</v>
      </c>
      <c r="K20" s="1295" t="s">
        <v>444</v>
      </c>
      <c r="L20" s="1296"/>
      <c r="M20" s="1301" t="s">
        <v>295</v>
      </c>
      <c r="N20" s="1302"/>
      <c r="O20" s="1302"/>
      <c r="P20" s="1302"/>
      <c r="Q20" s="1303"/>
      <c r="R20" s="1310">
        <f>ROUND(U20*(1-$G$63),2)</f>
        <v>52280</v>
      </c>
      <c r="S20" s="420"/>
      <c r="T20" s="442">
        <v>19805</v>
      </c>
      <c r="U20" s="456">
        <v>52280</v>
      </c>
      <c r="W20" s="663"/>
    </row>
    <row r="21" spans="1:46" ht="27.75" customHeight="1">
      <c r="A21" s="1256"/>
      <c r="B21" s="1258" t="s">
        <v>229</v>
      </c>
      <c r="C21" s="1259"/>
      <c r="D21" s="1326" t="s">
        <v>451</v>
      </c>
      <c r="E21" s="1327"/>
      <c r="F21" s="1265"/>
      <c r="G21" s="1266"/>
      <c r="H21" s="444">
        <v>38.5</v>
      </c>
      <c r="I21" s="445">
        <f t="shared" si="1"/>
        <v>20368</v>
      </c>
      <c r="K21" s="1297"/>
      <c r="L21" s="1298"/>
      <c r="M21" s="1304"/>
      <c r="N21" s="1305"/>
      <c r="O21" s="1305"/>
      <c r="P21" s="1305"/>
      <c r="Q21" s="1306"/>
      <c r="R21" s="1311"/>
      <c r="S21" s="425"/>
      <c r="T21" s="442">
        <v>20368</v>
      </c>
      <c r="U21" s="380"/>
      <c r="V21" s="380"/>
      <c r="W21" s="663"/>
    </row>
    <row r="22" spans="1:46" ht="27.75" customHeight="1">
      <c r="A22" s="1257"/>
      <c r="B22" s="1260"/>
      <c r="C22" s="1261"/>
      <c r="D22" s="1293" t="s">
        <v>453</v>
      </c>
      <c r="E22" s="1294"/>
      <c r="F22" s="1265"/>
      <c r="G22" s="1266"/>
      <c r="H22" s="455">
        <v>66</v>
      </c>
      <c r="I22" s="379">
        <f t="shared" si="1"/>
        <v>24814</v>
      </c>
      <c r="K22" s="1299"/>
      <c r="L22" s="1300"/>
      <c r="M22" s="1307"/>
      <c r="N22" s="1308"/>
      <c r="O22" s="1308"/>
      <c r="P22" s="1308"/>
      <c r="Q22" s="1309"/>
      <c r="R22" s="1312"/>
      <c r="S22" s="425"/>
      <c r="T22" s="442">
        <v>24814</v>
      </c>
      <c r="U22" s="178"/>
      <c r="W22" s="663"/>
    </row>
    <row r="23" spans="1:46" ht="27.75" customHeight="1">
      <c r="A23" s="1262"/>
      <c r="B23" s="1258" t="s">
        <v>237</v>
      </c>
      <c r="C23" s="1259"/>
      <c r="D23" s="1326" t="s">
        <v>178</v>
      </c>
      <c r="E23" s="1327"/>
      <c r="F23" s="1265"/>
      <c r="G23" s="1266"/>
      <c r="H23" s="444">
        <v>70</v>
      </c>
      <c r="I23" s="445">
        <f t="shared" si="1"/>
        <v>35199</v>
      </c>
      <c r="K23" s="1295" t="s">
        <v>490</v>
      </c>
      <c r="L23" s="1296"/>
      <c r="M23" s="1284" t="s">
        <v>57</v>
      </c>
      <c r="N23" s="1285"/>
      <c r="O23" s="1285"/>
      <c r="P23" s="1285"/>
      <c r="Q23" s="1286"/>
      <c r="R23" s="386">
        <f>ROUND(U23*(1-$G$63),2)</f>
        <v>5995</v>
      </c>
      <c r="S23" s="391"/>
      <c r="T23" s="442">
        <v>35199</v>
      </c>
      <c r="U23" s="457">
        <v>5995</v>
      </c>
    </row>
    <row r="24" spans="1:46" ht="27.75" customHeight="1">
      <c r="A24" s="1262"/>
      <c r="B24" s="1260"/>
      <c r="C24" s="1261"/>
      <c r="D24" s="1293" t="s">
        <v>179</v>
      </c>
      <c r="E24" s="1294"/>
      <c r="F24" s="1265"/>
      <c r="G24" s="1266"/>
      <c r="H24" s="454">
        <v>81</v>
      </c>
      <c r="I24" s="379">
        <f t="shared" si="1"/>
        <v>41507</v>
      </c>
      <c r="K24" s="1297"/>
      <c r="L24" s="1298"/>
      <c r="M24" s="1284" t="s">
        <v>205</v>
      </c>
      <c r="N24" s="1285"/>
      <c r="O24" s="1285"/>
      <c r="P24" s="1285"/>
      <c r="Q24" s="1286"/>
      <c r="R24" s="386">
        <f>ROUND(U24*(1-$G$63),2)</f>
        <v>1210</v>
      </c>
      <c r="S24" s="391"/>
      <c r="T24" s="442">
        <v>41507</v>
      </c>
      <c r="U24" s="457">
        <v>1210</v>
      </c>
    </row>
    <row r="25" spans="1:46" ht="27.75" customHeight="1">
      <c r="A25" s="1256"/>
      <c r="B25" s="1258" t="s">
        <v>238</v>
      </c>
      <c r="C25" s="1259"/>
      <c r="D25" s="1326" t="s">
        <v>179</v>
      </c>
      <c r="E25" s="1327"/>
      <c r="F25" s="1265"/>
      <c r="G25" s="1266"/>
      <c r="H25" s="444">
        <v>85</v>
      </c>
      <c r="I25" s="445">
        <f t="shared" si="1"/>
        <v>44408</v>
      </c>
      <c r="K25" s="1297"/>
      <c r="L25" s="1298"/>
      <c r="M25" s="1284" t="s">
        <v>296</v>
      </c>
      <c r="N25" s="1285"/>
      <c r="O25" s="1285"/>
      <c r="P25" s="1285"/>
      <c r="Q25" s="1286"/>
      <c r="R25" s="386">
        <f>ROUND(U25*(1-$G$63),2)</f>
        <v>6610</v>
      </c>
      <c r="S25" s="391"/>
      <c r="T25" s="442">
        <v>44408</v>
      </c>
      <c r="U25" s="457">
        <v>6610</v>
      </c>
    </row>
    <row r="26" spans="1:46" ht="27.75" customHeight="1">
      <c r="A26" s="1257"/>
      <c r="B26" s="1260"/>
      <c r="C26" s="1261"/>
      <c r="D26" s="1293" t="s">
        <v>454</v>
      </c>
      <c r="E26" s="1294"/>
      <c r="F26" s="1267"/>
      <c r="G26" s="1268"/>
      <c r="H26" s="455">
        <v>128</v>
      </c>
      <c r="I26" s="379">
        <f t="shared" si="1"/>
        <v>55414</v>
      </c>
      <c r="K26" s="1299"/>
      <c r="L26" s="1300"/>
      <c r="M26" s="1284" t="s">
        <v>206</v>
      </c>
      <c r="N26" s="1285"/>
      <c r="O26" s="1285"/>
      <c r="P26" s="1285"/>
      <c r="Q26" s="1286"/>
      <c r="R26" s="386">
        <f>ROUND(U26*(1-$G$63),2)</f>
        <v>3775</v>
      </c>
      <c r="S26" s="391"/>
      <c r="T26" s="442">
        <v>55414</v>
      </c>
      <c r="U26" s="457">
        <v>3775</v>
      </c>
    </row>
    <row r="27" spans="1:46" ht="15" customHeight="1">
      <c r="I27" s="203"/>
      <c r="J27" s="203"/>
      <c r="S27" s="391"/>
      <c r="U27" s="178"/>
    </row>
    <row r="28" spans="1:46" ht="27.75" customHeight="1">
      <c r="A28" s="1232" t="s">
        <v>116</v>
      </c>
      <c r="B28" s="1229" t="s">
        <v>189</v>
      </c>
      <c r="C28" s="1228" t="s">
        <v>106</v>
      </c>
      <c r="D28" s="1228"/>
      <c r="E28" s="1229" t="s">
        <v>190</v>
      </c>
      <c r="F28" s="1235" t="s">
        <v>191</v>
      </c>
      <c r="G28" s="1236"/>
      <c r="H28" s="1236"/>
      <c r="I28" s="1237"/>
      <c r="K28" s="1270" t="s">
        <v>189</v>
      </c>
      <c r="L28" s="1271"/>
      <c r="M28" s="1272"/>
      <c r="N28" s="1270" t="s">
        <v>265</v>
      </c>
      <c r="O28" s="1272"/>
      <c r="P28" s="1320" t="s">
        <v>11</v>
      </c>
      <c r="Q28" s="1320"/>
      <c r="R28" s="448" t="s">
        <v>294</v>
      </c>
      <c r="S28" s="391"/>
      <c r="U28" s="178"/>
    </row>
    <row r="29" spans="1:46" ht="27.75" customHeight="1">
      <c r="A29" s="1233"/>
      <c r="B29" s="1230"/>
      <c r="C29" s="1228"/>
      <c r="D29" s="1228"/>
      <c r="E29" s="1230"/>
      <c r="F29" s="1238">
        <v>1</v>
      </c>
      <c r="G29" s="1239"/>
      <c r="H29" s="1239"/>
      <c r="I29" s="1240"/>
      <c r="K29" s="451"/>
      <c r="L29" s="1277" t="s">
        <v>12</v>
      </c>
      <c r="M29" s="1278"/>
      <c r="N29" s="1273" t="s">
        <v>649</v>
      </c>
      <c r="O29" s="1274"/>
      <c r="P29" s="1321" t="s">
        <v>13</v>
      </c>
      <c r="Q29" s="1321"/>
      <c r="R29" s="1322">
        <f>ROUND(W29*(1-$G$62),2)</f>
        <v>300</v>
      </c>
      <c r="S29" s="426"/>
      <c r="T29" s="441">
        <v>9433</v>
      </c>
      <c r="U29" s="441">
        <v>10280</v>
      </c>
      <c r="V29" s="441"/>
      <c r="W29" s="441">
        <v>300</v>
      </c>
    </row>
    <row r="30" spans="1:46" ht="27.75" customHeight="1">
      <c r="A30" s="1234"/>
      <c r="B30" s="1231"/>
      <c r="C30" s="1228"/>
      <c r="D30" s="1228"/>
      <c r="E30" s="1231"/>
      <c r="F30" s="1241" t="s">
        <v>376</v>
      </c>
      <c r="G30" s="1243"/>
      <c r="H30" s="1241" t="s">
        <v>377</v>
      </c>
      <c r="I30" s="1243"/>
      <c r="K30" s="452"/>
      <c r="L30" s="1279"/>
      <c r="M30" s="1280"/>
      <c r="N30" s="1275"/>
      <c r="O30" s="1276"/>
      <c r="P30" s="1321"/>
      <c r="Q30" s="1321"/>
      <c r="R30" s="1322"/>
      <c r="S30" s="421"/>
      <c r="T30" s="441">
        <v>10716</v>
      </c>
      <c r="U30" s="441">
        <v>11805</v>
      </c>
      <c r="V30" s="441"/>
    </row>
    <row r="31" spans="1:46" ht="30" customHeight="1">
      <c r="A31" s="1346"/>
      <c r="B31" s="1341" t="s">
        <v>184</v>
      </c>
      <c r="C31" s="1227" t="s">
        <v>447</v>
      </c>
      <c r="D31" s="1227"/>
      <c r="E31" s="374">
        <v>1.03</v>
      </c>
      <c r="F31" s="1244">
        <f>ROUND(T29*(1-$G$63),2)</f>
        <v>9433</v>
      </c>
      <c r="G31" s="1245"/>
      <c r="H31" s="1244" t="str">
        <f>ROUND(U29*(1-$G$63),2)&amp;"*"</f>
        <v>10280*</v>
      </c>
      <c r="I31" s="1245"/>
      <c r="K31" s="1335"/>
      <c r="L31" s="1282" t="s">
        <v>439</v>
      </c>
      <c r="M31" s="1283"/>
      <c r="N31" s="1281" t="s">
        <v>449</v>
      </c>
      <c r="O31" s="1281"/>
      <c r="P31" s="1281"/>
      <c r="Q31" s="1281"/>
      <c r="R31" s="1269" t="str">
        <f>ROUND(W31*(1-$G$63),2)&amp;"***"</f>
        <v>955***</v>
      </c>
      <c r="T31" s="441">
        <v>11481</v>
      </c>
      <c r="U31" s="441">
        <v>12942</v>
      </c>
      <c r="V31" s="441"/>
      <c r="W31" s="442">
        <v>955</v>
      </c>
    </row>
    <row r="32" spans="1:46" s="414" customFormat="1" ht="30" customHeight="1">
      <c r="A32" s="1346"/>
      <c r="B32" s="1341"/>
      <c r="C32" s="1227"/>
      <c r="D32" s="1227"/>
      <c r="E32" s="376">
        <v>1.53</v>
      </c>
      <c r="F32" s="1246">
        <f>ROUND(T30*(1-$G$63),2)</f>
        <v>10716</v>
      </c>
      <c r="G32" s="1247"/>
      <c r="H32" s="1254" t="str">
        <f>ROUND(U30*(1-$G$63),2)&amp;"****"</f>
        <v>11805****</v>
      </c>
      <c r="I32" s="1255"/>
      <c r="K32" s="1335"/>
      <c r="L32" s="1282"/>
      <c r="M32" s="1283"/>
      <c r="N32" s="1281"/>
      <c r="O32" s="1281"/>
      <c r="P32" s="1281"/>
      <c r="Q32" s="1281"/>
      <c r="R32" s="1269"/>
      <c r="S32" s="389"/>
      <c r="T32" s="441">
        <v>11954</v>
      </c>
      <c r="U32" s="441">
        <v>13988</v>
      </c>
      <c r="V32" s="441"/>
      <c r="X32" s="221"/>
      <c r="Y32" s="221"/>
      <c r="Z32" s="380"/>
      <c r="AA32" s="380"/>
      <c r="AB32" s="380"/>
      <c r="AC32" s="380"/>
      <c r="AD32" s="380"/>
      <c r="AE32" s="380"/>
      <c r="AF32" s="380"/>
      <c r="AG32" s="380"/>
      <c r="AH32" s="380"/>
      <c r="AI32" s="413"/>
      <c r="AJ32" s="413"/>
      <c r="AK32" s="413"/>
      <c r="AL32" s="413"/>
      <c r="AM32" s="413"/>
      <c r="AN32" s="413"/>
      <c r="AO32" s="413"/>
      <c r="AP32" s="413"/>
      <c r="AQ32" s="413"/>
      <c r="AR32" s="413"/>
      <c r="AS32" s="413"/>
      <c r="AT32" s="413"/>
    </row>
    <row r="33" spans="1:46" ht="30" customHeight="1">
      <c r="A33" s="1346"/>
      <c r="B33" s="1341"/>
      <c r="C33" s="1227"/>
      <c r="D33" s="1227"/>
      <c r="E33" s="369">
        <v>1.73</v>
      </c>
      <c r="F33" s="1287">
        <f>ROUND(T31*(1-$G$63),2)</f>
        <v>11481</v>
      </c>
      <c r="G33" s="1288"/>
      <c r="H33" s="1254" t="str">
        <f>ROUND(U31*(1-$G$63),2)&amp;"****"</f>
        <v>12942****</v>
      </c>
      <c r="I33" s="1255"/>
      <c r="K33" s="1335"/>
      <c r="L33" s="1282"/>
      <c r="M33" s="1283"/>
      <c r="N33" s="1281"/>
      <c r="O33" s="1281"/>
      <c r="P33" s="1281"/>
      <c r="Q33" s="1281"/>
      <c r="R33" s="1269"/>
      <c r="S33" s="428"/>
    </row>
    <row r="34" spans="1:46" ht="30" customHeight="1">
      <c r="A34" s="1346"/>
      <c r="B34" s="1341"/>
      <c r="C34" s="1227"/>
      <c r="D34" s="1227"/>
      <c r="E34" s="25">
        <v>2.0299999999999998</v>
      </c>
      <c r="F34" s="1289">
        <f>ROUND(T32*(1-$G$63),2)</f>
        <v>11954</v>
      </c>
      <c r="G34" s="1290"/>
      <c r="H34" s="1252" t="str">
        <f>ROUND(U32*(1-$G$63),2)&amp;"****"</f>
        <v>13988****</v>
      </c>
      <c r="I34" s="1253"/>
      <c r="K34" s="1335"/>
      <c r="L34" s="1282"/>
      <c r="M34" s="1283"/>
      <c r="N34" s="1281"/>
      <c r="O34" s="1281"/>
      <c r="P34" s="1281"/>
      <c r="Q34" s="1281"/>
      <c r="R34" s="1269"/>
      <c r="S34" s="427"/>
    </row>
    <row r="35" spans="1:46" ht="27.75" customHeight="1">
      <c r="A35" s="1232" t="s">
        <v>116</v>
      </c>
      <c r="B35" s="1229" t="s">
        <v>189</v>
      </c>
      <c r="C35" s="1226" t="s">
        <v>106</v>
      </c>
      <c r="D35" s="1226"/>
      <c r="E35" s="1229" t="s">
        <v>190</v>
      </c>
      <c r="F35" s="1235" t="s">
        <v>191</v>
      </c>
      <c r="G35" s="1236"/>
      <c r="H35" s="1236"/>
      <c r="I35" s="1237"/>
      <c r="K35" s="392"/>
      <c r="L35" s="401"/>
      <c r="M35" s="401"/>
      <c r="N35" s="392"/>
      <c r="O35" s="392"/>
      <c r="P35" s="392"/>
      <c r="Q35" s="392"/>
      <c r="R35" s="447"/>
      <c r="S35" s="422"/>
    </row>
    <row r="36" spans="1:46" ht="27.75" customHeight="1">
      <c r="A36" s="1233"/>
      <c r="B36" s="1230"/>
      <c r="C36" s="1226"/>
      <c r="D36" s="1226"/>
      <c r="E36" s="1230"/>
      <c r="F36" s="1241">
        <v>3.5</v>
      </c>
      <c r="G36" s="1242"/>
      <c r="H36" s="1242"/>
      <c r="I36" s="1243"/>
      <c r="K36" s="1214" t="s">
        <v>441</v>
      </c>
      <c r="L36" s="1214"/>
      <c r="M36" s="1323" t="s">
        <v>506</v>
      </c>
      <c r="N36" s="1323"/>
      <c r="O36" s="1323"/>
      <c r="P36" s="1323"/>
      <c r="Q36" s="1323"/>
      <c r="R36" s="1323"/>
      <c r="S36" s="427"/>
    </row>
    <row r="37" spans="1:46" ht="27.75" customHeight="1">
      <c r="A37" s="1234"/>
      <c r="B37" s="1231"/>
      <c r="C37" s="1226"/>
      <c r="D37" s="1226"/>
      <c r="E37" s="1231"/>
      <c r="F37" s="1241" t="s">
        <v>376</v>
      </c>
      <c r="G37" s="1243"/>
      <c r="H37" s="1241" t="s">
        <v>377</v>
      </c>
      <c r="I37" s="1243"/>
      <c r="K37" s="1214"/>
      <c r="L37" s="1214"/>
      <c r="M37" s="1323"/>
      <c r="N37" s="1323"/>
      <c r="O37" s="1323"/>
      <c r="P37" s="1323"/>
      <c r="Q37" s="1323"/>
      <c r="R37" s="1323"/>
      <c r="S37" s="422"/>
    </row>
    <row r="38" spans="1:46" ht="27.75" customHeight="1">
      <c r="A38" s="394"/>
      <c r="B38" s="1347" t="s">
        <v>173</v>
      </c>
      <c r="C38" s="1227" t="s">
        <v>448</v>
      </c>
      <c r="D38" s="1227"/>
      <c r="E38" s="374">
        <v>1.03</v>
      </c>
      <c r="F38" s="1244">
        <f>ROUND(T38*(1-$G$63),2)</f>
        <v>22448</v>
      </c>
      <c r="G38" s="1245"/>
      <c r="H38" s="1244" t="str">
        <f>ROUND(U38*(1-$G$63),2)&amp;"*"</f>
        <v>23026*</v>
      </c>
      <c r="I38" s="1245"/>
      <c r="J38" s="221"/>
      <c r="K38" s="1214"/>
      <c r="L38" s="1214"/>
      <c r="M38" s="1323"/>
      <c r="N38" s="1323"/>
      <c r="O38" s="1323"/>
      <c r="P38" s="1323"/>
      <c r="Q38" s="1323"/>
      <c r="R38" s="1323"/>
      <c r="T38" s="441">
        <v>22448</v>
      </c>
      <c r="U38" s="441">
        <v>23026</v>
      </c>
      <c r="W38" s="663"/>
      <c r="X38" s="663"/>
    </row>
    <row r="39" spans="1:46" ht="27.75" customHeight="1">
      <c r="A39" s="395"/>
      <c r="B39" s="1348"/>
      <c r="C39" s="1227"/>
      <c r="D39" s="1227"/>
      <c r="E39" s="376">
        <v>1.53</v>
      </c>
      <c r="F39" s="1246">
        <f>ROUND(T39*(1-$G$63),2)</f>
        <v>23883</v>
      </c>
      <c r="G39" s="1247"/>
      <c r="H39" s="1254" t="str">
        <f>ROUND(U39*(1-$G$63),2)&amp;"****"</f>
        <v>24483****</v>
      </c>
      <c r="I39" s="1255"/>
      <c r="K39" s="1214" t="s">
        <v>442</v>
      </c>
      <c r="L39" s="1214"/>
      <c r="M39" s="1323" t="s">
        <v>618</v>
      </c>
      <c r="N39" s="1323"/>
      <c r="O39" s="1323"/>
      <c r="P39" s="1323"/>
      <c r="Q39" s="1323"/>
      <c r="R39" s="1323"/>
      <c r="S39" s="389"/>
      <c r="T39" s="441">
        <v>23883</v>
      </c>
      <c r="U39" s="441">
        <v>24483</v>
      </c>
      <c r="W39" s="663"/>
      <c r="X39" s="663"/>
    </row>
    <row r="40" spans="1:46" ht="27.75" customHeight="1">
      <c r="A40" s="395"/>
      <c r="B40" s="1348"/>
      <c r="C40" s="1227"/>
      <c r="D40" s="1227"/>
      <c r="E40" s="369">
        <v>1.73</v>
      </c>
      <c r="F40" s="1248">
        <f>ROUND(T40*(1-$G$63),2)</f>
        <v>27450</v>
      </c>
      <c r="G40" s="1249"/>
      <c r="H40" s="1254" t="str">
        <f>ROUND(U40*(1-$G$63),2)&amp;"****"</f>
        <v>28451****</v>
      </c>
      <c r="I40" s="1255"/>
      <c r="K40" s="1214"/>
      <c r="L40" s="1214"/>
      <c r="M40" s="1323"/>
      <c r="N40" s="1323"/>
      <c r="O40" s="1323"/>
      <c r="P40" s="1323"/>
      <c r="Q40" s="1323"/>
      <c r="R40" s="1323"/>
      <c r="S40" s="425"/>
      <c r="T40" s="441">
        <v>27450</v>
      </c>
      <c r="U40" s="441">
        <v>28451</v>
      </c>
      <c r="W40" s="663"/>
      <c r="X40" s="663"/>
    </row>
    <row r="41" spans="1:46" ht="27.75" customHeight="1">
      <c r="A41" s="396"/>
      <c r="B41" s="1349"/>
      <c r="C41" s="1227"/>
      <c r="D41" s="1227"/>
      <c r="E41" s="25">
        <v>2.0299999999999998</v>
      </c>
      <c r="F41" s="1250">
        <f>ROUND(T41*(1-$G$63),2)</f>
        <v>28272</v>
      </c>
      <c r="G41" s="1251"/>
      <c r="H41" s="1252" t="str">
        <f>ROUND(U41*(1-$G$63),2)&amp;"****"</f>
        <v>29274****</v>
      </c>
      <c r="I41" s="1253"/>
      <c r="K41" s="1214"/>
      <c r="L41" s="1214"/>
      <c r="M41" s="1323"/>
      <c r="N41" s="1323"/>
      <c r="O41" s="1323"/>
      <c r="P41" s="1323"/>
      <c r="Q41" s="1323"/>
      <c r="R41" s="1323"/>
      <c r="S41" s="425"/>
      <c r="T41" s="441">
        <v>28272</v>
      </c>
      <c r="U41" s="441">
        <v>29274</v>
      </c>
      <c r="W41" s="663"/>
      <c r="X41" s="663"/>
    </row>
    <row r="42" spans="1:46" s="410" customFormat="1" ht="15" customHeight="1">
      <c r="I42" s="415"/>
      <c r="K42" s="400"/>
      <c r="L42" s="400"/>
      <c r="M42" s="401"/>
      <c r="N42" s="401"/>
      <c r="O42" s="401"/>
      <c r="P42" s="401"/>
      <c r="Q42" s="401"/>
      <c r="R42" s="401"/>
      <c r="S42" s="422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09"/>
      <c r="AJ42" s="409"/>
      <c r="AK42" s="409"/>
      <c r="AL42" s="409"/>
      <c r="AM42" s="409"/>
      <c r="AN42" s="409"/>
      <c r="AO42" s="409"/>
      <c r="AP42" s="409"/>
      <c r="AQ42" s="409"/>
      <c r="AR42" s="409"/>
      <c r="AS42" s="409"/>
      <c r="AT42" s="409"/>
    </row>
    <row r="43" spans="1:46" s="410" customFormat="1" ht="27.75" customHeight="1">
      <c r="A43" s="1224" t="s">
        <v>116</v>
      </c>
      <c r="B43" s="1224"/>
      <c r="C43" s="1225" t="s">
        <v>189</v>
      </c>
      <c r="D43" s="1225"/>
      <c r="E43" s="1351" t="s">
        <v>190</v>
      </c>
      <c r="F43" s="1330" t="s">
        <v>191</v>
      </c>
      <c r="G43" s="1331"/>
      <c r="H43" s="1331"/>
      <c r="I43" s="1332"/>
      <c r="S43" s="422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09"/>
      <c r="AJ43" s="409"/>
      <c r="AK43" s="409"/>
      <c r="AL43" s="409"/>
      <c r="AM43" s="409"/>
      <c r="AN43" s="409"/>
      <c r="AO43" s="409"/>
      <c r="AP43" s="409"/>
      <c r="AQ43" s="409"/>
      <c r="AR43" s="409"/>
      <c r="AS43" s="409"/>
      <c r="AT43" s="409"/>
    </row>
    <row r="44" spans="1:46" s="410" customFormat="1" ht="27.75" customHeight="1">
      <c r="A44" s="1224"/>
      <c r="B44" s="1224"/>
      <c r="C44" s="1225"/>
      <c r="D44" s="1225"/>
      <c r="E44" s="1351"/>
      <c r="F44" s="1328">
        <v>1</v>
      </c>
      <c r="G44" s="1329"/>
      <c r="H44" s="1238">
        <v>3.45</v>
      </c>
      <c r="I44" s="1240"/>
      <c r="K44" s="1214" t="s">
        <v>375</v>
      </c>
      <c r="L44" s="1214"/>
      <c r="M44" s="1215" t="s">
        <v>505</v>
      </c>
      <c r="N44" s="1216"/>
      <c r="O44" s="1216"/>
      <c r="P44" s="1216"/>
      <c r="Q44" s="1216"/>
      <c r="R44" s="1217"/>
      <c r="S44" s="422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09"/>
      <c r="AJ44" s="409"/>
      <c r="AK44" s="409"/>
      <c r="AL44" s="409"/>
      <c r="AM44" s="409"/>
      <c r="AN44" s="409"/>
      <c r="AO44" s="409"/>
      <c r="AP44" s="409"/>
      <c r="AQ44" s="409"/>
      <c r="AR44" s="409"/>
      <c r="AS44" s="409"/>
      <c r="AT44" s="409"/>
    </row>
    <row r="45" spans="1:46" s="410" customFormat="1" ht="27.75" customHeight="1">
      <c r="A45" s="1372"/>
      <c r="B45" s="1373"/>
      <c r="C45" s="1341" t="s">
        <v>503</v>
      </c>
      <c r="D45" s="1341"/>
      <c r="E45" s="416">
        <v>1.6</v>
      </c>
      <c r="F45" s="1333">
        <f>ROUND(T45*(1-$G$63),2)</f>
        <v>9610</v>
      </c>
      <c r="G45" s="1334"/>
      <c r="H45" s="1333" t="s">
        <v>100</v>
      </c>
      <c r="I45" s="1334"/>
      <c r="K45" s="1214"/>
      <c r="L45" s="1214"/>
      <c r="M45" s="1218"/>
      <c r="N45" s="1219"/>
      <c r="O45" s="1219"/>
      <c r="P45" s="1219"/>
      <c r="Q45" s="1219"/>
      <c r="R45" s="1220"/>
      <c r="S45" s="422"/>
      <c r="T45" s="442">
        <v>9610</v>
      </c>
      <c r="U45" s="390"/>
      <c r="V45" s="460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09"/>
      <c r="AJ45" s="409"/>
      <c r="AK45" s="409"/>
      <c r="AL45" s="409"/>
      <c r="AM45" s="409"/>
      <c r="AN45" s="409"/>
      <c r="AO45" s="409"/>
      <c r="AP45" s="409"/>
      <c r="AQ45" s="409"/>
      <c r="AR45" s="409"/>
      <c r="AS45" s="409"/>
      <c r="AT45" s="409"/>
    </row>
    <row r="46" spans="1:46" ht="30" customHeight="1">
      <c r="A46" s="1374"/>
      <c r="B46" s="1375"/>
      <c r="C46" s="1341"/>
      <c r="D46" s="1341"/>
      <c r="E46" s="417">
        <v>2</v>
      </c>
      <c r="F46" s="1378">
        <f>ROUND(T46*(1-$G$63),2)</f>
        <v>9994</v>
      </c>
      <c r="G46" s="1379"/>
      <c r="H46" s="1378" t="s">
        <v>100</v>
      </c>
      <c r="I46" s="1379"/>
      <c r="J46" s="397"/>
      <c r="K46" s="1214"/>
      <c r="L46" s="1214"/>
      <c r="M46" s="1218"/>
      <c r="N46" s="1219"/>
      <c r="O46" s="1219"/>
      <c r="P46" s="1219"/>
      <c r="Q46" s="1219"/>
      <c r="R46" s="1220"/>
      <c r="T46" s="442">
        <v>9994</v>
      </c>
      <c r="U46" s="390"/>
      <c r="V46" s="390"/>
    </row>
    <row r="47" spans="1:46" ht="30" customHeight="1">
      <c r="A47" s="1374"/>
      <c r="B47" s="1375"/>
      <c r="C47" s="1341" t="s">
        <v>504</v>
      </c>
      <c r="D47" s="1341"/>
      <c r="E47" s="418">
        <v>1.6</v>
      </c>
      <c r="F47" s="1333" t="s">
        <v>100</v>
      </c>
      <c r="G47" s="1334"/>
      <c r="H47" s="1333">
        <f>ROUND(T47*(1-$G$63),2)</f>
        <v>17867</v>
      </c>
      <c r="I47" s="1334"/>
      <c r="K47" s="1214"/>
      <c r="L47" s="1214"/>
      <c r="M47" s="1218"/>
      <c r="N47" s="1219"/>
      <c r="O47" s="1219"/>
      <c r="P47" s="1219"/>
      <c r="Q47" s="1219"/>
      <c r="R47" s="1220"/>
      <c r="S47" s="389"/>
      <c r="T47" s="456">
        <v>17867</v>
      </c>
      <c r="V47" s="390"/>
    </row>
    <row r="48" spans="1:46" ht="30" customHeight="1">
      <c r="A48" s="1376"/>
      <c r="B48" s="1377"/>
      <c r="C48" s="1341"/>
      <c r="D48" s="1341"/>
      <c r="E48" s="417">
        <v>2</v>
      </c>
      <c r="F48" s="1378" t="s">
        <v>100</v>
      </c>
      <c r="G48" s="1379"/>
      <c r="H48" s="1378">
        <f>ROUND(T48*(1-$G$63),2)</f>
        <v>18532</v>
      </c>
      <c r="I48" s="1379"/>
      <c r="K48" s="1214"/>
      <c r="L48" s="1214"/>
      <c r="M48" s="1221"/>
      <c r="N48" s="1222"/>
      <c r="O48" s="1222"/>
      <c r="P48" s="1222"/>
      <c r="Q48" s="1222"/>
      <c r="R48" s="1223"/>
      <c r="S48" s="430"/>
      <c r="T48" s="456">
        <v>18532</v>
      </c>
      <c r="V48" s="390"/>
    </row>
    <row r="49" spans="1:75" ht="15" customHeight="1">
      <c r="A49" s="410"/>
      <c r="B49" s="450"/>
      <c r="C49" s="453"/>
      <c r="E49" s="450"/>
      <c r="F49" s="450"/>
      <c r="G49" s="450"/>
      <c r="H49" s="450"/>
      <c r="I49" s="450"/>
      <c r="K49" s="1"/>
      <c r="L49" s="1"/>
      <c r="M49" s="1"/>
      <c r="N49" s="1"/>
      <c r="O49" s="1"/>
      <c r="P49" s="1"/>
      <c r="Q49" s="1"/>
      <c r="R49" s="1"/>
      <c r="S49" s="431"/>
      <c r="U49" s="390"/>
      <c r="V49" s="390"/>
      <c r="W49" s="390"/>
      <c r="X49" s="390"/>
    </row>
    <row r="50" spans="1:75" s="1" customFormat="1" ht="27.75" customHeight="1">
      <c r="A50" s="1224" t="s">
        <v>116</v>
      </c>
      <c r="B50" s="1224"/>
      <c r="C50" s="1224" t="s">
        <v>189</v>
      </c>
      <c r="D50" s="1224"/>
      <c r="E50" s="1343" t="s">
        <v>190</v>
      </c>
      <c r="F50" s="1330" t="s">
        <v>191</v>
      </c>
      <c r="G50" s="1331"/>
      <c r="H50" s="1331"/>
      <c r="I50" s="1332"/>
      <c r="S50" s="431"/>
      <c r="U50" s="459"/>
      <c r="V50" s="390"/>
      <c r="W50" s="459"/>
      <c r="X50" s="459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</row>
    <row r="51" spans="1:75" s="1" customFormat="1" ht="27.75" customHeight="1">
      <c r="A51" s="1224"/>
      <c r="B51" s="1224"/>
      <c r="C51" s="1224"/>
      <c r="D51" s="1224"/>
      <c r="E51" s="1344"/>
      <c r="F51" s="1328">
        <v>1</v>
      </c>
      <c r="G51" s="1329"/>
      <c r="H51" s="1328">
        <v>5</v>
      </c>
      <c r="I51" s="1329"/>
      <c r="K51" s="1214" t="s">
        <v>382</v>
      </c>
      <c r="L51" s="1214"/>
      <c r="M51" s="1215" t="s">
        <v>440</v>
      </c>
      <c r="N51" s="1216"/>
      <c r="O51" s="1216"/>
      <c r="P51" s="1216"/>
      <c r="Q51" s="1216"/>
      <c r="R51" s="1217"/>
      <c r="S51" s="432"/>
      <c r="U51" s="459"/>
      <c r="V51" s="390"/>
      <c r="W51" s="459"/>
      <c r="X51" s="459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</row>
    <row r="52" spans="1:75" s="1" customFormat="1" ht="35.1" customHeight="1">
      <c r="A52" s="1353"/>
      <c r="B52" s="1354"/>
      <c r="C52" s="1352" t="s">
        <v>380</v>
      </c>
      <c r="D52" s="1352"/>
      <c r="E52" s="1342">
        <v>1.95</v>
      </c>
      <c r="F52" s="1227">
        <f>ROUND(T52*(1-$G$63),2)</f>
        <v>9779</v>
      </c>
      <c r="G52" s="1227"/>
      <c r="H52" s="1227" t="s">
        <v>100</v>
      </c>
      <c r="I52" s="1227"/>
      <c r="K52" s="1214"/>
      <c r="L52" s="1214"/>
      <c r="M52" s="1218"/>
      <c r="N52" s="1219"/>
      <c r="O52" s="1219"/>
      <c r="P52" s="1219"/>
      <c r="Q52" s="1219"/>
      <c r="R52" s="1220"/>
      <c r="S52" s="432"/>
      <c r="T52" s="456">
        <v>9779</v>
      </c>
      <c r="U52" s="390"/>
      <c r="V52" s="390"/>
      <c r="W52" s="390"/>
      <c r="X52" s="390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</row>
    <row r="53" spans="1:75" s="1" customFormat="1" ht="35.1" customHeight="1">
      <c r="A53" s="1355"/>
      <c r="B53" s="1356"/>
      <c r="C53" s="1352"/>
      <c r="D53" s="1352"/>
      <c r="E53" s="1342"/>
      <c r="F53" s="1227"/>
      <c r="G53" s="1227"/>
      <c r="H53" s="1227"/>
      <c r="I53" s="1227"/>
      <c r="J53" s="398"/>
      <c r="K53" s="1214"/>
      <c r="L53" s="1214"/>
      <c r="M53" s="1218"/>
      <c r="N53" s="1219"/>
      <c r="O53" s="1219"/>
      <c r="P53" s="1219"/>
      <c r="Q53" s="1219"/>
      <c r="R53" s="1220"/>
      <c r="S53" s="399"/>
      <c r="T53" s="390"/>
      <c r="U53" s="390"/>
      <c r="V53" s="390"/>
      <c r="W53" s="390"/>
      <c r="X53" s="390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</row>
    <row r="54" spans="1:75" s="1" customFormat="1" ht="35.1" customHeight="1">
      <c r="A54" s="1355"/>
      <c r="B54" s="1356"/>
      <c r="C54" s="1345" t="s">
        <v>381</v>
      </c>
      <c r="D54" s="1345"/>
      <c r="E54" s="1342">
        <v>1.95</v>
      </c>
      <c r="F54" s="1227" t="s">
        <v>100</v>
      </c>
      <c r="G54" s="1227"/>
      <c r="H54" s="1227">
        <f>ROUND(T54*(1-$G$63),2)</f>
        <v>19635</v>
      </c>
      <c r="I54" s="1227"/>
      <c r="K54" s="1214"/>
      <c r="L54" s="1214"/>
      <c r="M54" s="1218"/>
      <c r="N54" s="1219"/>
      <c r="O54" s="1219"/>
      <c r="P54" s="1219"/>
      <c r="Q54" s="1219"/>
      <c r="R54" s="1220"/>
      <c r="S54" s="399"/>
      <c r="T54" s="456">
        <v>19635</v>
      </c>
      <c r="U54" s="459"/>
      <c r="V54" s="459"/>
      <c r="AB54" s="221"/>
      <c r="AC54" s="221"/>
      <c r="AD54" s="221"/>
      <c r="AE54" s="221"/>
      <c r="AF54" s="221"/>
      <c r="AG54" s="221"/>
      <c r="AH54" s="221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</row>
    <row r="55" spans="1:75" s="1" customFormat="1" ht="35.1" customHeight="1">
      <c r="A55" s="1357"/>
      <c r="B55" s="1358"/>
      <c r="C55" s="1345"/>
      <c r="D55" s="1345"/>
      <c r="E55" s="1342"/>
      <c r="F55" s="1227"/>
      <c r="G55" s="1227"/>
      <c r="H55" s="1227"/>
      <c r="I55" s="1227"/>
      <c r="K55" s="1214"/>
      <c r="L55" s="1214"/>
      <c r="M55" s="1221"/>
      <c r="N55" s="1222"/>
      <c r="O55" s="1222"/>
      <c r="P55" s="1222"/>
      <c r="Q55" s="1222"/>
      <c r="R55" s="1223"/>
      <c r="S55" s="399"/>
      <c r="T55" s="459"/>
      <c r="U55" s="459"/>
      <c r="V55" s="459"/>
      <c r="AB55" s="221"/>
      <c r="AC55" s="221"/>
      <c r="AD55" s="221"/>
      <c r="AE55" s="221"/>
      <c r="AF55" s="221"/>
      <c r="AG55" s="221"/>
      <c r="AH55" s="221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</row>
    <row r="56" spans="1:75" ht="24.95" customHeight="1">
      <c r="A56" s="98" t="s">
        <v>240</v>
      </c>
      <c r="B56" s="94"/>
      <c r="C56" s="94"/>
      <c r="D56" s="94"/>
      <c r="E56" s="94"/>
      <c r="F56" s="94"/>
      <c r="G56" s="94"/>
      <c r="H56" s="221"/>
      <c r="I56" s="393" t="s">
        <v>83</v>
      </c>
      <c r="J56" s="400"/>
      <c r="K56" s="94"/>
      <c r="L56" s="221"/>
      <c r="M56" s="221"/>
      <c r="N56" s="221"/>
      <c r="O56" s="221"/>
      <c r="P56" s="221"/>
      <c r="Q56" s="221"/>
      <c r="R56" s="221"/>
    </row>
    <row r="57" spans="1:75" ht="24.95" customHeight="1">
      <c r="A57" s="98" t="s">
        <v>500</v>
      </c>
      <c r="B57" s="94"/>
      <c r="C57" s="94"/>
      <c r="D57" s="94"/>
      <c r="E57" s="94"/>
      <c r="F57" s="94"/>
      <c r="G57" s="94"/>
      <c r="H57" s="94"/>
      <c r="I57" s="402"/>
      <c r="J57" s="94"/>
      <c r="K57" s="94"/>
      <c r="L57" s="221"/>
      <c r="M57" s="221"/>
      <c r="N57" s="221"/>
      <c r="O57" s="221"/>
      <c r="P57" s="393"/>
      <c r="Q57" s="221"/>
      <c r="R57" s="221"/>
    </row>
    <row r="58" spans="1:75" ht="24.95" customHeight="1">
      <c r="A58" s="98" t="s">
        <v>391</v>
      </c>
      <c r="B58" s="94"/>
      <c r="C58" s="94"/>
      <c r="D58" s="94"/>
      <c r="E58" s="94"/>
      <c r="F58" s="94"/>
      <c r="G58" s="94"/>
      <c r="H58" s="94"/>
      <c r="I58" s="215" t="s">
        <v>59</v>
      </c>
      <c r="K58" s="390"/>
      <c r="L58" s="390"/>
      <c r="M58" s="390"/>
      <c r="N58" s="390"/>
      <c r="O58" s="221"/>
      <c r="P58" s="393"/>
      <c r="Q58" s="221"/>
      <c r="R58" s="221"/>
    </row>
    <row r="59" spans="1:75" ht="24.95" customHeight="1">
      <c r="A59" s="98" t="s">
        <v>41</v>
      </c>
      <c r="B59" s="94"/>
      <c r="C59" s="94"/>
      <c r="D59" s="94"/>
      <c r="E59" s="94"/>
      <c r="F59" s="94"/>
      <c r="G59" s="94"/>
      <c r="H59" s="94"/>
      <c r="I59" s="215" t="s">
        <v>529</v>
      </c>
      <c r="K59" s="158"/>
      <c r="L59" s="158"/>
      <c r="M59" s="158"/>
      <c r="N59" s="158"/>
      <c r="O59" s="158"/>
      <c r="P59" s="158"/>
      <c r="Q59" s="158"/>
      <c r="R59" s="159"/>
    </row>
    <row r="60" spans="1:75" ht="24.95" customHeight="1">
      <c r="A60" s="221" t="s">
        <v>306</v>
      </c>
      <c r="B60" s="390"/>
      <c r="C60" s="390"/>
      <c r="D60" s="390"/>
      <c r="E60" s="390"/>
      <c r="F60" s="390"/>
      <c r="G60" s="390"/>
      <c r="H60" s="390"/>
      <c r="I60" s="390" t="s">
        <v>528</v>
      </c>
    </row>
    <row r="61" spans="1:75" s="159" customFormat="1">
      <c r="B61" s="158"/>
      <c r="C61" s="158"/>
      <c r="D61" s="158"/>
      <c r="E61" s="158"/>
      <c r="F61" s="158"/>
      <c r="G61" s="158"/>
      <c r="H61" s="158"/>
      <c r="I61" s="158"/>
      <c r="J61" s="158"/>
      <c r="K61" s="8"/>
      <c r="L61" s="8"/>
      <c r="M61" s="8"/>
      <c r="N61" s="8"/>
      <c r="O61" s="8"/>
      <c r="P61" s="8"/>
      <c r="Q61" s="8"/>
      <c r="R61"/>
      <c r="S61" s="390"/>
      <c r="T61" s="390"/>
      <c r="U61" s="390"/>
      <c r="V61" s="390"/>
      <c r="W61" s="390"/>
      <c r="X61" s="390"/>
      <c r="Y61" s="429"/>
      <c r="Z61" s="429"/>
      <c r="AA61" s="429"/>
      <c r="AB61" s="429"/>
      <c r="AC61" s="429"/>
      <c r="AD61" s="429"/>
      <c r="AE61" s="429"/>
      <c r="AF61" s="429"/>
      <c r="AG61" s="429"/>
      <c r="AH61" s="429"/>
      <c r="AI61" s="437"/>
      <c r="AJ61" s="437"/>
      <c r="AK61" s="437"/>
      <c r="AL61" s="437"/>
      <c r="AM61" s="437"/>
      <c r="AN61" s="437"/>
      <c r="AO61" s="437"/>
      <c r="AP61" s="437"/>
      <c r="AQ61" s="437"/>
      <c r="AR61" s="437"/>
      <c r="AS61" s="437"/>
      <c r="AT61" s="437"/>
      <c r="AU61" s="438"/>
      <c r="AV61" s="438"/>
      <c r="AW61" s="438"/>
      <c r="AX61" s="438"/>
      <c r="AY61" s="438"/>
      <c r="AZ61" s="438"/>
      <c r="BA61" s="438"/>
      <c r="BB61" s="438"/>
      <c r="BC61" s="438"/>
      <c r="BD61" s="438"/>
      <c r="BE61" s="438"/>
      <c r="BF61" s="438"/>
      <c r="BG61" s="438"/>
      <c r="BH61" s="438"/>
      <c r="BI61" s="438"/>
      <c r="BJ61" s="438"/>
      <c r="BK61" s="438"/>
      <c r="BL61" s="438"/>
      <c r="BM61" s="438"/>
      <c r="BN61" s="438"/>
      <c r="BO61" s="438"/>
      <c r="BP61" s="438"/>
      <c r="BQ61" s="438"/>
      <c r="BR61" s="438"/>
      <c r="BS61" s="438"/>
      <c r="BT61" s="438"/>
      <c r="BU61" s="438"/>
      <c r="BV61" s="438"/>
      <c r="BW61" s="438"/>
    </row>
    <row r="62" spans="1:75" ht="25.5" customHeight="1">
      <c r="Y62" s="429"/>
      <c r="Z62" s="429"/>
      <c r="AA62" s="429"/>
      <c r="AB62" s="429"/>
      <c r="AC62" s="429"/>
      <c r="AD62" s="429"/>
      <c r="AE62" s="429"/>
      <c r="AF62" s="429"/>
      <c r="AG62" s="429"/>
      <c r="AH62" s="429"/>
      <c r="AI62" s="437"/>
      <c r="AJ62" s="437"/>
      <c r="AK62" s="437"/>
      <c r="AL62" s="437"/>
      <c r="AM62" s="437"/>
      <c r="AN62" s="437"/>
      <c r="AO62" s="437"/>
      <c r="AP62" s="437"/>
      <c r="AQ62" s="437"/>
      <c r="AR62" s="437"/>
      <c r="AS62" s="437"/>
      <c r="AT62" s="437"/>
      <c r="AU62" s="438"/>
      <c r="AV62" s="438"/>
      <c r="AW62" s="438"/>
      <c r="AX62" s="438"/>
      <c r="AY62" s="438"/>
      <c r="AZ62" s="438"/>
      <c r="BA62" s="438"/>
      <c r="BB62" s="438"/>
      <c r="BC62" s="438"/>
      <c r="BD62" s="438"/>
      <c r="BE62" s="438"/>
      <c r="BF62" s="438"/>
      <c r="BG62" s="438"/>
      <c r="BH62" s="438"/>
      <c r="BI62" s="438"/>
      <c r="BJ62" s="438"/>
      <c r="BK62" s="438"/>
      <c r="BL62" s="438"/>
      <c r="BM62" s="438"/>
      <c r="BN62" s="438"/>
      <c r="BO62" s="438"/>
      <c r="BP62" s="438"/>
      <c r="BQ62" s="438"/>
      <c r="BR62" s="438"/>
      <c r="BS62" s="438"/>
      <c r="BT62" s="438"/>
      <c r="BU62" s="438"/>
      <c r="BV62" s="438"/>
      <c r="BW62" s="438"/>
    </row>
    <row r="63" spans="1:75" ht="54.75" hidden="1" customHeight="1">
      <c r="A63" s="1336" t="s">
        <v>115</v>
      </c>
      <c r="B63" s="1337"/>
      <c r="C63" s="1337"/>
      <c r="D63" s="1337"/>
      <c r="E63" s="1337"/>
      <c r="F63" s="1338"/>
      <c r="G63" s="1350">
        <v>0</v>
      </c>
      <c r="H63" s="1350"/>
      <c r="I63" s="1350"/>
      <c r="J63" s="1350"/>
      <c r="Y63" s="429"/>
      <c r="Z63" s="429"/>
      <c r="AA63" s="429"/>
      <c r="AB63" s="429"/>
      <c r="AC63" s="429"/>
      <c r="AD63" s="429"/>
      <c r="AE63" s="429"/>
      <c r="AF63" s="429"/>
      <c r="AG63" s="429"/>
      <c r="AH63" s="429"/>
      <c r="AI63" s="437"/>
      <c r="AJ63" s="437"/>
      <c r="AK63" s="437"/>
      <c r="AL63" s="437"/>
      <c r="AM63" s="437"/>
      <c r="AN63" s="437"/>
      <c r="AO63" s="437"/>
      <c r="AP63" s="437"/>
      <c r="AQ63" s="437"/>
      <c r="AR63" s="437"/>
      <c r="AS63" s="437"/>
      <c r="AT63" s="437"/>
      <c r="AU63" s="438"/>
      <c r="AV63" s="438"/>
      <c r="AW63" s="438"/>
      <c r="AX63" s="438"/>
      <c r="AY63" s="438"/>
      <c r="AZ63" s="438"/>
      <c r="BA63" s="438"/>
      <c r="BB63" s="438"/>
      <c r="BC63" s="438"/>
      <c r="BD63" s="438"/>
      <c r="BE63" s="438"/>
      <c r="BF63" s="438"/>
      <c r="BG63" s="438"/>
      <c r="BH63" s="438"/>
      <c r="BI63" s="438"/>
      <c r="BJ63" s="438"/>
      <c r="BK63" s="438"/>
      <c r="BL63" s="438"/>
      <c r="BM63" s="438"/>
      <c r="BN63" s="438"/>
      <c r="BO63" s="438"/>
      <c r="BP63" s="438"/>
      <c r="BQ63" s="438"/>
      <c r="BR63" s="438"/>
      <c r="BS63" s="438"/>
      <c r="BT63" s="438"/>
      <c r="BU63" s="438"/>
      <c r="BV63" s="438"/>
      <c r="BW63" s="438"/>
    </row>
    <row r="64" spans="1:75">
      <c r="Y64" s="429"/>
      <c r="Z64" s="429"/>
      <c r="AA64" s="429"/>
      <c r="AB64" s="429"/>
      <c r="AC64" s="429"/>
      <c r="AD64" s="429"/>
      <c r="AE64" s="429"/>
      <c r="AF64" s="429"/>
      <c r="AG64" s="429"/>
      <c r="AH64" s="429"/>
      <c r="AI64" s="437"/>
      <c r="AJ64" s="437"/>
      <c r="AK64" s="437"/>
      <c r="AL64" s="437"/>
      <c r="AM64" s="437"/>
      <c r="AN64" s="437"/>
      <c r="AO64" s="437"/>
      <c r="AP64" s="437"/>
      <c r="AQ64" s="437"/>
      <c r="AR64" s="437"/>
      <c r="AS64" s="437"/>
      <c r="AT64" s="437"/>
      <c r="AU64" s="438"/>
      <c r="AV64" s="438"/>
      <c r="AW64" s="438"/>
      <c r="AX64" s="438"/>
      <c r="AY64" s="438"/>
      <c r="AZ64" s="438"/>
      <c r="BA64" s="438"/>
      <c r="BB64" s="438"/>
      <c r="BC64" s="438"/>
      <c r="BD64" s="438"/>
      <c r="BE64" s="438"/>
      <c r="BF64" s="438"/>
      <c r="BG64" s="438"/>
      <c r="BH64" s="438"/>
      <c r="BI64" s="438"/>
      <c r="BJ64" s="438"/>
      <c r="BK64" s="438"/>
      <c r="BL64" s="438"/>
      <c r="BM64" s="438"/>
      <c r="BN64" s="438"/>
      <c r="BO64" s="438"/>
      <c r="BP64" s="438"/>
      <c r="BQ64" s="438"/>
      <c r="BR64" s="438"/>
      <c r="BS64" s="438"/>
      <c r="BT64" s="438"/>
      <c r="BU64" s="438"/>
      <c r="BV64" s="438"/>
      <c r="BW64" s="438"/>
    </row>
    <row r="65" spans="25:75">
      <c r="Y65" s="429"/>
      <c r="Z65" s="429"/>
      <c r="AA65" s="429"/>
      <c r="AB65" s="429"/>
      <c r="AC65" s="429"/>
      <c r="AD65" s="429"/>
      <c r="AE65" s="429"/>
      <c r="AF65" s="429"/>
      <c r="AG65" s="429"/>
      <c r="AH65" s="429"/>
      <c r="AI65" s="437"/>
      <c r="AJ65" s="437"/>
      <c r="AK65" s="437"/>
      <c r="AL65" s="437"/>
      <c r="AM65" s="437"/>
      <c r="AN65" s="437"/>
      <c r="AO65" s="437"/>
      <c r="AP65" s="437"/>
      <c r="AQ65" s="437"/>
      <c r="AR65" s="437"/>
      <c r="AS65" s="437"/>
      <c r="AT65" s="437"/>
      <c r="AU65" s="438"/>
      <c r="AV65" s="438"/>
      <c r="AW65" s="438"/>
      <c r="AX65" s="438"/>
      <c r="AY65" s="438"/>
      <c r="AZ65" s="438"/>
      <c r="BA65" s="438"/>
      <c r="BB65" s="438"/>
      <c r="BC65" s="438"/>
      <c r="BD65" s="438"/>
      <c r="BE65" s="438"/>
      <c r="BF65" s="438"/>
      <c r="BG65" s="438"/>
      <c r="BH65" s="438"/>
      <c r="BI65" s="438"/>
      <c r="BJ65" s="438"/>
      <c r="BK65" s="438"/>
      <c r="BL65" s="438"/>
      <c r="BM65" s="438"/>
      <c r="BN65" s="438"/>
      <c r="BO65" s="438"/>
      <c r="BP65" s="438"/>
      <c r="BQ65" s="438"/>
      <c r="BR65" s="438"/>
      <c r="BS65" s="438"/>
      <c r="BT65" s="438"/>
      <c r="BU65" s="438"/>
      <c r="BV65" s="438"/>
      <c r="BW65" s="438"/>
    </row>
    <row r="66" spans="25:75">
      <c r="Y66" s="429"/>
      <c r="Z66" s="429"/>
      <c r="AA66" s="429"/>
      <c r="AB66" s="429"/>
      <c r="AC66" s="429"/>
      <c r="AD66" s="429"/>
      <c r="AE66" s="429"/>
      <c r="AF66" s="429"/>
      <c r="AG66" s="429"/>
      <c r="AH66" s="429"/>
      <c r="AI66" s="437"/>
      <c r="AJ66" s="437"/>
      <c r="AK66" s="437"/>
      <c r="AL66" s="437"/>
      <c r="AM66" s="437"/>
      <c r="AN66" s="437"/>
      <c r="AO66" s="437"/>
      <c r="AP66" s="437"/>
      <c r="AQ66" s="437"/>
      <c r="AR66" s="437"/>
      <c r="AS66" s="437"/>
      <c r="AT66" s="437"/>
      <c r="AU66" s="438"/>
      <c r="AV66" s="438"/>
      <c r="AW66" s="438"/>
      <c r="AX66" s="438"/>
      <c r="AY66" s="438"/>
      <c r="AZ66" s="438"/>
      <c r="BA66" s="438"/>
      <c r="BB66" s="438"/>
      <c r="BC66" s="438"/>
      <c r="BD66" s="438"/>
      <c r="BE66" s="438"/>
      <c r="BF66" s="438"/>
      <c r="BG66" s="438"/>
      <c r="BH66" s="438"/>
      <c r="BI66" s="438"/>
      <c r="BJ66" s="438"/>
      <c r="BK66" s="438"/>
      <c r="BL66" s="438"/>
      <c r="BM66" s="438"/>
      <c r="BN66" s="438"/>
      <c r="BO66" s="438"/>
      <c r="BP66" s="438"/>
      <c r="BQ66" s="438"/>
      <c r="BR66" s="438"/>
      <c r="BS66" s="438"/>
      <c r="BT66" s="438"/>
      <c r="BU66" s="438"/>
      <c r="BV66" s="438"/>
      <c r="BW66" s="438"/>
    </row>
    <row r="67" spans="25:75">
      <c r="Y67" s="429"/>
      <c r="Z67" s="429"/>
      <c r="AA67" s="429"/>
      <c r="AB67" s="429"/>
      <c r="AC67" s="429"/>
      <c r="AD67" s="429"/>
      <c r="AE67" s="429"/>
      <c r="AF67" s="429"/>
      <c r="AG67" s="429"/>
      <c r="AH67" s="429"/>
      <c r="AI67" s="437"/>
      <c r="AJ67" s="437"/>
      <c r="AK67" s="437"/>
      <c r="AL67" s="437"/>
      <c r="AM67" s="437"/>
      <c r="AN67" s="437"/>
      <c r="AO67" s="437"/>
      <c r="AP67" s="437"/>
      <c r="AQ67" s="437"/>
      <c r="AR67" s="437"/>
      <c r="AS67" s="437"/>
      <c r="AT67" s="437"/>
      <c r="AU67" s="438"/>
      <c r="AV67" s="438"/>
      <c r="AW67" s="438"/>
      <c r="AX67" s="438"/>
      <c r="AY67" s="438"/>
      <c r="AZ67" s="438"/>
      <c r="BA67" s="438"/>
      <c r="BB67" s="438"/>
      <c r="BC67" s="438"/>
      <c r="BD67" s="438"/>
      <c r="BE67" s="438"/>
      <c r="BF67" s="438"/>
      <c r="BG67" s="438"/>
      <c r="BH67" s="438"/>
      <c r="BI67" s="438"/>
      <c r="BJ67" s="438"/>
      <c r="BK67" s="438"/>
      <c r="BL67" s="438"/>
      <c r="BM67" s="438"/>
      <c r="BN67" s="438"/>
      <c r="BO67" s="438"/>
      <c r="BP67" s="438"/>
      <c r="BQ67" s="438"/>
      <c r="BR67" s="438"/>
      <c r="BS67" s="438"/>
      <c r="BT67" s="438"/>
      <c r="BU67" s="438"/>
      <c r="BV67" s="438"/>
      <c r="BW67" s="438"/>
    </row>
    <row r="68" spans="25:75" ht="30" customHeight="1">
      <c r="Y68" s="429"/>
      <c r="Z68" s="429"/>
      <c r="AA68" s="397"/>
      <c r="AB68" s="397"/>
      <c r="AC68" s="397"/>
      <c r="AD68" s="397"/>
      <c r="AE68" s="397"/>
      <c r="AF68" s="397"/>
      <c r="AG68" s="397"/>
      <c r="AH68" s="397"/>
      <c r="AI68" s="397"/>
      <c r="AJ68" s="436"/>
      <c r="AK68" s="436"/>
      <c r="AL68" s="436"/>
      <c r="AM68" s="436"/>
      <c r="AN68" s="436"/>
      <c r="AO68" s="436"/>
      <c r="AP68" s="436"/>
      <c r="AQ68" s="436"/>
      <c r="AR68" s="436"/>
      <c r="AS68" s="436"/>
      <c r="AT68" s="436"/>
      <c r="AU68" s="438"/>
      <c r="AV68" s="438"/>
      <c r="AW68" s="438"/>
      <c r="AX68" s="1315"/>
      <c r="AY68" s="1315"/>
      <c r="AZ68" s="1315"/>
      <c r="BA68" s="1315"/>
      <c r="BB68" s="1315"/>
      <c r="BC68" s="1315"/>
      <c r="BD68" s="1315"/>
      <c r="BE68" s="1315"/>
      <c r="BF68" s="1315"/>
      <c r="BG68" s="1315"/>
      <c r="BH68" s="1315"/>
      <c r="BI68" s="1315"/>
      <c r="BJ68" s="1315"/>
      <c r="BK68" s="438"/>
      <c r="BL68" s="438"/>
      <c r="BM68" s="438"/>
      <c r="BN68" s="438"/>
      <c r="BO68" s="438"/>
      <c r="BP68" s="438"/>
      <c r="BQ68" s="438"/>
      <c r="BR68" s="438"/>
      <c r="BS68" s="438"/>
      <c r="BT68" s="438"/>
      <c r="BU68" s="438"/>
      <c r="BV68" s="438"/>
      <c r="BW68" s="438"/>
    </row>
    <row r="69" spans="25:75" ht="30" customHeight="1">
      <c r="Y69" s="429"/>
      <c r="Z69" s="429"/>
      <c r="AA69" s="392"/>
      <c r="AB69" s="392"/>
      <c r="AC69" s="392"/>
      <c r="AD69" s="392"/>
      <c r="AE69" s="392"/>
      <c r="AF69" s="392"/>
      <c r="AG69" s="392"/>
      <c r="AH69" s="392"/>
      <c r="AI69" s="392"/>
      <c r="AJ69" s="434"/>
      <c r="AK69" s="434"/>
      <c r="AL69" s="434"/>
      <c r="AM69" s="434"/>
      <c r="AN69" s="434"/>
      <c r="AO69" s="434"/>
      <c r="AP69" s="434"/>
      <c r="AQ69" s="434"/>
      <c r="AR69" s="434"/>
      <c r="AS69" s="434"/>
      <c r="AT69" s="434"/>
      <c r="AU69" s="438"/>
      <c r="AV69" s="438"/>
      <c r="AW69" s="438"/>
      <c r="AX69" s="1315"/>
      <c r="AY69" s="1315"/>
      <c r="AZ69" s="1315"/>
      <c r="BA69" s="1315"/>
      <c r="BB69" s="1315"/>
      <c r="BC69" s="1315"/>
      <c r="BD69" s="1315"/>
      <c r="BE69" s="1315"/>
      <c r="BF69" s="1315"/>
      <c r="BG69" s="1315"/>
      <c r="BH69" s="1315"/>
      <c r="BI69" s="1315"/>
      <c r="BJ69" s="1315"/>
      <c r="BK69" s="438"/>
      <c r="BL69" s="438"/>
      <c r="BM69" s="438"/>
      <c r="BN69" s="438"/>
      <c r="BO69" s="438"/>
      <c r="BP69" s="438"/>
      <c r="BQ69" s="438"/>
      <c r="BR69" s="438"/>
      <c r="BS69" s="438"/>
      <c r="BT69" s="438"/>
      <c r="BU69" s="438"/>
      <c r="BV69" s="438"/>
      <c r="BW69" s="438"/>
    </row>
    <row r="70" spans="25:75" ht="20.25">
      <c r="Y70" s="429"/>
      <c r="Z70" s="429"/>
      <c r="AA70" s="392"/>
      <c r="AB70" s="392"/>
      <c r="AC70" s="392"/>
      <c r="AD70" s="392"/>
      <c r="AE70" s="392"/>
      <c r="AF70" s="392"/>
      <c r="AG70" s="392"/>
      <c r="AH70" s="392"/>
      <c r="AI70" s="392"/>
      <c r="AJ70" s="434"/>
      <c r="AK70" s="434"/>
      <c r="AL70" s="434"/>
      <c r="AM70" s="434"/>
      <c r="AN70" s="434"/>
      <c r="AO70" s="434"/>
      <c r="AP70" s="434"/>
      <c r="AQ70" s="434"/>
      <c r="AR70" s="434"/>
      <c r="AS70" s="434"/>
      <c r="AT70" s="434"/>
      <c r="AU70" s="438"/>
      <c r="AV70" s="438"/>
      <c r="AW70" s="438"/>
      <c r="AX70" s="1316"/>
      <c r="AY70" s="1316"/>
      <c r="AZ70" s="1316"/>
      <c r="BA70" s="1317"/>
      <c r="BB70" s="1317"/>
      <c r="BC70" s="1318"/>
      <c r="BD70" s="1318"/>
      <c r="BE70" s="1318"/>
      <c r="BF70" s="1318"/>
      <c r="BG70" s="1318"/>
      <c r="BH70" s="1319"/>
      <c r="BI70" s="1319"/>
      <c r="BJ70" s="1319"/>
      <c r="BK70" s="438"/>
      <c r="BL70" s="438"/>
      <c r="BM70" s="438"/>
      <c r="BN70" s="438"/>
      <c r="BO70" s="438"/>
      <c r="BP70" s="438"/>
      <c r="BQ70" s="438"/>
      <c r="BR70" s="438"/>
      <c r="BS70" s="438"/>
      <c r="BT70" s="438"/>
      <c r="BU70" s="438"/>
      <c r="BV70" s="438"/>
      <c r="BW70" s="438"/>
    </row>
    <row r="71" spans="25:75" ht="20.25">
      <c r="Y71" s="429"/>
      <c r="Z71" s="429"/>
      <c r="AA71" s="392"/>
      <c r="AB71" s="392"/>
      <c r="AC71" s="392"/>
      <c r="AD71" s="392"/>
      <c r="AE71" s="392"/>
      <c r="AF71" s="392"/>
      <c r="AG71" s="392"/>
      <c r="AH71" s="392"/>
      <c r="AI71" s="392"/>
      <c r="AJ71" s="434"/>
      <c r="AK71" s="434"/>
      <c r="AL71" s="434"/>
      <c r="AM71" s="434"/>
      <c r="AN71" s="434"/>
      <c r="AO71" s="434"/>
      <c r="AP71" s="434"/>
      <c r="AQ71" s="434"/>
      <c r="AR71" s="434"/>
      <c r="AS71" s="434"/>
      <c r="AT71" s="434"/>
      <c r="AU71" s="438"/>
      <c r="AV71" s="438"/>
      <c r="AW71" s="438"/>
      <c r="AX71" s="1316"/>
      <c r="AY71" s="1316"/>
      <c r="AZ71" s="1316"/>
      <c r="BA71" s="1317"/>
      <c r="BB71" s="1317"/>
      <c r="BC71" s="1318"/>
      <c r="BD71" s="1318"/>
      <c r="BE71" s="1318"/>
      <c r="BF71" s="1318"/>
      <c r="BG71" s="1318"/>
      <c r="BH71" s="1319"/>
      <c r="BI71" s="1319"/>
      <c r="BJ71" s="1319"/>
      <c r="BK71" s="438"/>
      <c r="BL71" s="438"/>
      <c r="BM71" s="438"/>
      <c r="BN71" s="438"/>
      <c r="BO71" s="438"/>
      <c r="BP71" s="438"/>
      <c r="BQ71" s="438"/>
      <c r="BR71" s="438"/>
      <c r="BS71" s="438"/>
      <c r="BT71" s="438"/>
      <c r="BU71" s="438"/>
      <c r="BV71" s="438"/>
      <c r="BW71" s="438"/>
    </row>
    <row r="72" spans="25:75" ht="20.25">
      <c r="Y72" s="429"/>
      <c r="Z72" s="429"/>
      <c r="AA72" s="392"/>
      <c r="AB72" s="392"/>
      <c r="AC72" s="392"/>
      <c r="AD72" s="392"/>
      <c r="AE72" s="392"/>
      <c r="AF72" s="392"/>
      <c r="AG72" s="392"/>
      <c r="AH72" s="392"/>
      <c r="AI72" s="392"/>
      <c r="AJ72" s="434"/>
      <c r="AK72" s="434"/>
      <c r="AL72" s="434"/>
      <c r="AM72" s="434"/>
      <c r="AN72" s="434"/>
      <c r="AO72" s="434"/>
      <c r="AP72" s="434"/>
      <c r="AQ72" s="434"/>
      <c r="AR72" s="434"/>
      <c r="AS72" s="434"/>
      <c r="AT72" s="434"/>
      <c r="AU72" s="438"/>
      <c r="AV72" s="438"/>
      <c r="AW72" s="438"/>
      <c r="AX72" s="1316"/>
      <c r="AY72" s="1316"/>
      <c r="AZ72" s="1316"/>
      <c r="BA72" s="1317"/>
      <c r="BB72" s="1317"/>
      <c r="BC72" s="1318"/>
      <c r="BD72" s="1318"/>
      <c r="BE72" s="1318"/>
      <c r="BF72" s="1318"/>
      <c r="BG72" s="1318"/>
      <c r="BH72" s="1319"/>
      <c r="BI72" s="1319"/>
      <c r="BJ72" s="1319"/>
      <c r="BK72" s="438"/>
      <c r="BL72" s="438"/>
      <c r="BM72" s="438"/>
      <c r="BN72" s="438"/>
      <c r="BO72" s="438"/>
      <c r="BP72" s="438"/>
      <c r="BQ72" s="438"/>
      <c r="BR72" s="438"/>
      <c r="BS72" s="438"/>
      <c r="BT72" s="438"/>
      <c r="BU72" s="438"/>
      <c r="BV72" s="438"/>
      <c r="BW72" s="438"/>
    </row>
    <row r="73" spans="25:75" ht="30" customHeight="1">
      <c r="Y73" s="429"/>
      <c r="Z73" s="429"/>
      <c r="AA73" s="392"/>
      <c r="AB73" s="392"/>
      <c r="AC73" s="392"/>
      <c r="AD73" s="392"/>
      <c r="AE73" s="392"/>
      <c r="AF73" s="392"/>
      <c r="AG73" s="392"/>
      <c r="AH73" s="392"/>
      <c r="AI73" s="392"/>
      <c r="AJ73" s="434"/>
      <c r="AK73" s="434"/>
      <c r="AL73" s="434"/>
      <c r="AM73" s="434"/>
      <c r="AN73" s="434"/>
      <c r="AO73" s="434"/>
      <c r="AP73" s="434"/>
      <c r="AQ73" s="434"/>
      <c r="AR73" s="434"/>
      <c r="AS73" s="434"/>
      <c r="AT73" s="434"/>
      <c r="AU73" s="438"/>
      <c r="AV73" s="438"/>
      <c r="AW73" s="438"/>
      <c r="AX73" s="1316"/>
      <c r="AY73" s="1316"/>
      <c r="AZ73" s="1316"/>
      <c r="BA73" s="1317"/>
      <c r="BB73" s="1317"/>
      <c r="BC73" s="1318"/>
      <c r="BD73" s="1318"/>
      <c r="BE73" s="1318"/>
      <c r="BF73" s="1318"/>
      <c r="BG73" s="1318"/>
      <c r="BH73" s="1319"/>
      <c r="BI73" s="1319"/>
      <c r="BJ73" s="1319"/>
      <c r="BK73" s="438"/>
      <c r="BL73" s="438"/>
      <c r="BM73" s="438"/>
      <c r="BN73" s="438"/>
      <c r="BO73" s="438"/>
      <c r="BP73" s="438"/>
      <c r="BQ73" s="438"/>
      <c r="BR73" s="438"/>
      <c r="BS73" s="438"/>
      <c r="BT73" s="438"/>
      <c r="BU73" s="438"/>
      <c r="BV73" s="438"/>
      <c r="BW73" s="438"/>
    </row>
    <row r="74" spans="25:75" ht="30" customHeight="1">
      <c r="Y74" s="429"/>
      <c r="Z74" s="429"/>
      <c r="AA74" s="435"/>
      <c r="AB74" s="435"/>
      <c r="AC74" s="435"/>
      <c r="AD74" s="434"/>
      <c r="AE74" s="434"/>
      <c r="AF74" s="434"/>
      <c r="AG74" s="434"/>
      <c r="AH74" s="434"/>
      <c r="AI74" s="434"/>
      <c r="AJ74" s="434"/>
      <c r="AK74" s="434"/>
      <c r="AL74" s="434"/>
      <c r="AM74" s="434"/>
      <c r="AN74" s="434"/>
      <c r="AO74" s="434"/>
      <c r="AP74" s="434"/>
      <c r="AQ74" s="434"/>
      <c r="AR74" s="434"/>
      <c r="AS74" s="434"/>
      <c r="AT74" s="434"/>
      <c r="AU74" s="438"/>
      <c r="AV74" s="438"/>
      <c r="AW74" s="438"/>
      <c r="AX74" s="1316"/>
      <c r="AY74" s="1316"/>
      <c r="AZ74" s="1316"/>
      <c r="BA74" s="1317"/>
      <c r="BB74" s="1317"/>
      <c r="BC74" s="1318"/>
      <c r="BD74" s="1318"/>
      <c r="BE74" s="1318"/>
      <c r="BF74" s="1318"/>
      <c r="BG74" s="1318"/>
      <c r="BH74" s="1319"/>
      <c r="BI74" s="1319"/>
      <c r="BJ74" s="1319"/>
      <c r="BK74" s="438"/>
      <c r="BL74" s="438"/>
      <c r="BM74" s="438"/>
      <c r="BN74" s="438"/>
      <c r="BO74" s="438"/>
      <c r="BP74" s="438"/>
      <c r="BQ74" s="438"/>
      <c r="BR74" s="438"/>
      <c r="BS74" s="438"/>
      <c r="BT74" s="438"/>
      <c r="BU74" s="438"/>
      <c r="BV74" s="438"/>
      <c r="BW74" s="438"/>
    </row>
    <row r="75" spans="25:75" ht="30" customHeight="1">
      <c r="Y75" s="429"/>
      <c r="Z75" s="429"/>
      <c r="AA75" s="435"/>
      <c r="AB75" s="435"/>
      <c r="AC75" s="435"/>
      <c r="AD75" s="434"/>
      <c r="AE75" s="434"/>
      <c r="AF75" s="434"/>
      <c r="AG75" s="434"/>
      <c r="AH75" s="434"/>
      <c r="AI75" s="434"/>
      <c r="AJ75" s="434"/>
      <c r="AK75" s="434"/>
      <c r="AL75" s="434"/>
      <c r="AM75" s="434"/>
      <c r="AN75" s="434"/>
      <c r="AO75" s="434"/>
      <c r="AP75" s="434"/>
      <c r="AQ75" s="434"/>
      <c r="AR75" s="434"/>
      <c r="AS75" s="434"/>
      <c r="AT75" s="434"/>
      <c r="AU75" s="438"/>
      <c r="AV75" s="438"/>
      <c r="AW75" s="438"/>
      <c r="AX75" s="438"/>
      <c r="AY75" s="438"/>
      <c r="AZ75" s="438"/>
      <c r="BA75" s="438"/>
      <c r="BB75" s="438"/>
      <c r="BC75" s="438"/>
      <c r="BD75" s="438"/>
      <c r="BE75" s="438"/>
      <c r="BF75" s="438"/>
      <c r="BG75" s="438"/>
      <c r="BH75" s="438"/>
      <c r="BI75" s="438"/>
      <c r="BJ75" s="438"/>
      <c r="BK75" s="438"/>
      <c r="BL75" s="438"/>
      <c r="BM75" s="438"/>
      <c r="BN75" s="438"/>
      <c r="BO75" s="438"/>
      <c r="BP75" s="438"/>
      <c r="BQ75" s="438"/>
      <c r="BR75" s="438"/>
      <c r="BS75" s="438"/>
      <c r="BT75" s="438"/>
      <c r="BU75" s="438"/>
      <c r="BV75" s="438"/>
      <c r="BW75" s="438"/>
    </row>
    <row r="76" spans="25:75" ht="30" customHeight="1">
      <c r="Y76" s="429"/>
      <c r="Z76" s="429"/>
      <c r="AA76" s="435"/>
      <c r="AB76" s="435"/>
      <c r="AC76" s="435"/>
      <c r="AD76" s="434"/>
      <c r="AE76" s="434"/>
      <c r="AF76" s="434"/>
      <c r="AG76" s="434"/>
      <c r="AH76" s="434"/>
      <c r="AI76" s="434"/>
      <c r="AJ76" s="434"/>
      <c r="AK76" s="434"/>
      <c r="AL76" s="434"/>
      <c r="AM76" s="434"/>
      <c r="AN76" s="434"/>
      <c r="AO76" s="434"/>
      <c r="AP76" s="434"/>
      <c r="AQ76" s="434"/>
      <c r="AR76" s="434"/>
      <c r="AS76" s="434"/>
      <c r="AT76" s="434"/>
      <c r="AU76" s="438"/>
      <c r="AV76" s="438"/>
      <c r="AW76" s="438"/>
      <c r="AX76" s="438"/>
      <c r="AY76" s="438"/>
      <c r="AZ76" s="438"/>
      <c r="BA76" s="438"/>
      <c r="BB76" s="438"/>
      <c r="BC76" s="438"/>
      <c r="BD76" s="438"/>
      <c r="BE76" s="438"/>
      <c r="BF76" s="438"/>
      <c r="BG76" s="438"/>
      <c r="BH76" s="438"/>
      <c r="BI76" s="438"/>
      <c r="BJ76" s="438"/>
      <c r="BK76" s="438"/>
      <c r="BL76" s="438"/>
      <c r="BM76" s="438"/>
      <c r="BN76" s="438"/>
      <c r="BO76" s="438"/>
      <c r="BP76" s="438"/>
      <c r="BQ76" s="438"/>
      <c r="BR76" s="438"/>
      <c r="BS76" s="438"/>
      <c r="BT76" s="438"/>
      <c r="BU76" s="438"/>
      <c r="BV76" s="438"/>
      <c r="BW76" s="438"/>
    </row>
    <row r="77" spans="25:75" ht="30" customHeight="1">
      <c r="Y77" s="429"/>
      <c r="Z77" s="429"/>
      <c r="AA77" s="435"/>
      <c r="AB77" s="435"/>
      <c r="AC77" s="435"/>
      <c r="AD77" s="434"/>
      <c r="AE77" s="434"/>
      <c r="AF77" s="434"/>
      <c r="AG77" s="434"/>
      <c r="AH77" s="434"/>
      <c r="AI77" s="434"/>
      <c r="AJ77" s="434"/>
      <c r="AK77" s="434"/>
      <c r="AL77" s="434"/>
      <c r="AM77" s="434"/>
      <c r="AN77" s="434"/>
      <c r="AO77" s="434"/>
      <c r="AP77" s="434"/>
      <c r="AQ77" s="434"/>
      <c r="AR77" s="434"/>
      <c r="AS77" s="434"/>
      <c r="AT77" s="434"/>
      <c r="AU77" s="438"/>
      <c r="AV77" s="438"/>
      <c r="AW77" s="438"/>
      <c r="AX77" s="438"/>
      <c r="AY77" s="438"/>
      <c r="AZ77" s="438"/>
      <c r="BA77" s="438"/>
      <c r="BB77" s="438"/>
      <c r="BC77" s="438"/>
      <c r="BD77" s="438"/>
      <c r="BE77" s="438"/>
      <c r="BF77" s="438"/>
      <c r="BG77" s="438"/>
      <c r="BH77" s="438"/>
      <c r="BI77" s="438"/>
      <c r="BJ77" s="438"/>
      <c r="BK77" s="438"/>
      <c r="BL77" s="438"/>
      <c r="BM77" s="438"/>
      <c r="BN77" s="438"/>
      <c r="BO77" s="438"/>
      <c r="BP77" s="438"/>
      <c r="BQ77" s="438"/>
      <c r="BR77" s="438"/>
      <c r="BS77" s="438"/>
      <c r="BT77" s="438"/>
      <c r="BU77" s="438"/>
      <c r="BV77" s="438"/>
      <c r="BW77" s="438"/>
    </row>
    <row r="78" spans="25:75">
      <c r="Y78" s="429"/>
      <c r="Z78" s="429"/>
      <c r="AA78" s="429"/>
      <c r="AB78" s="429"/>
      <c r="AC78" s="429"/>
      <c r="AD78" s="429"/>
      <c r="AE78" s="429"/>
      <c r="AF78" s="429"/>
      <c r="AG78" s="429"/>
      <c r="AH78" s="429"/>
      <c r="AI78" s="437"/>
      <c r="AJ78" s="437"/>
      <c r="AK78" s="437"/>
      <c r="AL78" s="437"/>
      <c r="AM78" s="437"/>
      <c r="AN78" s="437"/>
      <c r="AO78" s="437"/>
      <c r="AP78" s="437"/>
      <c r="AQ78" s="437"/>
      <c r="AR78" s="437"/>
      <c r="AS78" s="437"/>
      <c r="AT78" s="437"/>
      <c r="AU78" s="438"/>
      <c r="AV78" s="438"/>
      <c r="AW78" s="438"/>
      <c r="AX78" s="438"/>
      <c r="AY78" s="438"/>
      <c r="AZ78" s="438"/>
      <c r="BA78" s="438"/>
      <c r="BB78" s="438"/>
      <c r="BC78" s="438"/>
      <c r="BD78" s="438"/>
      <c r="BE78" s="438"/>
      <c r="BF78" s="438"/>
      <c r="BG78" s="438"/>
      <c r="BH78" s="438"/>
      <c r="BI78" s="438"/>
      <c r="BJ78" s="438"/>
      <c r="BK78" s="438"/>
      <c r="BL78" s="438"/>
      <c r="BM78" s="438"/>
      <c r="BN78" s="438"/>
      <c r="BO78" s="438"/>
      <c r="BP78" s="438"/>
      <c r="BQ78" s="438"/>
      <c r="BR78" s="438"/>
      <c r="BS78" s="438"/>
      <c r="BT78" s="438"/>
      <c r="BU78" s="438"/>
      <c r="BV78" s="438"/>
      <c r="BW78" s="438"/>
    </row>
    <row r="79" spans="25:75">
      <c r="Y79" s="429"/>
      <c r="Z79" s="429"/>
      <c r="AA79" s="429"/>
      <c r="AB79" s="429"/>
      <c r="AC79" s="429"/>
      <c r="AD79" s="429"/>
      <c r="AE79" s="429"/>
      <c r="AF79" s="429"/>
      <c r="AG79" s="429"/>
      <c r="AH79" s="429"/>
      <c r="AI79" s="437"/>
      <c r="AJ79" s="437"/>
      <c r="AK79" s="437"/>
      <c r="AL79" s="437"/>
      <c r="AM79" s="437"/>
      <c r="AN79" s="437"/>
      <c r="AO79" s="437"/>
      <c r="AP79" s="437"/>
      <c r="AQ79" s="437"/>
      <c r="AR79" s="437"/>
      <c r="AS79" s="437"/>
      <c r="AT79" s="437"/>
      <c r="AU79" s="438"/>
      <c r="AV79" s="438"/>
      <c r="AW79" s="438"/>
      <c r="AX79" s="438"/>
      <c r="AY79" s="438"/>
      <c r="AZ79" s="438"/>
      <c r="BA79" s="438"/>
      <c r="BB79" s="438"/>
      <c r="BC79" s="438"/>
      <c r="BD79" s="438"/>
      <c r="BE79" s="438"/>
      <c r="BF79" s="438"/>
      <c r="BG79" s="438"/>
      <c r="BH79" s="438"/>
      <c r="BI79" s="438"/>
      <c r="BJ79" s="438"/>
      <c r="BK79" s="438"/>
      <c r="BL79" s="438"/>
      <c r="BM79" s="438"/>
      <c r="BN79" s="438"/>
      <c r="BO79" s="438"/>
      <c r="BP79" s="438"/>
      <c r="BQ79" s="438"/>
      <c r="BR79" s="438"/>
      <c r="BS79" s="438"/>
      <c r="BT79" s="438"/>
      <c r="BU79" s="438"/>
      <c r="BV79" s="438"/>
      <c r="BW79" s="438"/>
    </row>
    <row r="80" spans="25:75">
      <c r="Y80" s="429"/>
      <c r="Z80" s="429"/>
      <c r="AA80" s="429"/>
      <c r="AB80" s="429"/>
      <c r="AC80" s="429"/>
      <c r="AD80" s="429"/>
      <c r="AE80" s="429"/>
      <c r="AF80" s="429"/>
      <c r="AG80" s="429"/>
      <c r="AH80" s="429"/>
      <c r="AI80" s="437"/>
      <c r="AJ80" s="437"/>
      <c r="AK80" s="437"/>
      <c r="AL80" s="437"/>
      <c r="AM80" s="437"/>
      <c r="AN80" s="437"/>
      <c r="AO80" s="437"/>
      <c r="AP80" s="437"/>
      <c r="AQ80" s="437"/>
      <c r="AR80" s="437"/>
      <c r="AS80" s="437"/>
      <c r="AT80" s="437"/>
      <c r="AU80" s="438"/>
      <c r="AV80" s="438"/>
      <c r="AW80" s="438"/>
      <c r="AX80" s="438"/>
      <c r="AY80" s="438"/>
      <c r="AZ80" s="438"/>
      <c r="BA80" s="438"/>
      <c r="BB80" s="438"/>
      <c r="BC80" s="438"/>
      <c r="BD80" s="438"/>
      <c r="BE80" s="438"/>
      <c r="BF80" s="438"/>
      <c r="BG80" s="438"/>
      <c r="BH80" s="438"/>
      <c r="BI80" s="438"/>
      <c r="BJ80" s="438"/>
      <c r="BK80" s="438"/>
      <c r="BL80" s="438"/>
      <c r="BM80" s="438"/>
      <c r="BN80" s="438"/>
      <c r="BO80" s="438"/>
      <c r="BP80" s="438"/>
      <c r="BQ80" s="438"/>
      <c r="BR80" s="438"/>
      <c r="BS80" s="438"/>
      <c r="BT80" s="438"/>
      <c r="BU80" s="438"/>
      <c r="BV80" s="438"/>
      <c r="BW80" s="438"/>
    </row>
    <row r="81" spans="25:75">
      <c r="Y81" s="429"/>
      <c r="Z81" s="429"/>
      <c r="AA81" s="429"/>
      <c r="AB81" s="429"/>
      <c r="AC81" s="429"/>
      <c r="AD81" s="429"/>
      <c r="AE81" s="429"/>
      <c r="AF81" s="429"/>
      <c r="AG81" s="429"/>
      <c r="AH81" s="429"/>
      <c r="AI81" s="437"/>
      <c r="AJ81" s="437"/>
      <c r="AK81" s="437"/>
      <c r="AL81" s="437"/>
      <c r="AM81" s="437"/>
      <c r="AN81" s="437"/>
      <c r="AO81" s="437"/>
      <c r="AP81" s="437"/>
      <c r="AQ81" s="437"/>
      <c r="AR81" s="437"/>
      <c r="AS81" s="437"/>
      <c r="AT81" s="437"/>
      <c r="AU81" s="438"/>
      <c r="AV81" s="438"/>
      <c r="AW81" s="438"/>
      <c r="AX81" s="438"/>
      <c r="AY81" s="438"/>
      <c r="AZ81" s="438"/>
      <c r="BA81" s="438"/>
      <c r="BB81" s="438"/>
      <c r="BC81" s="438"/>
      <c r="BD81" s="438"/>
      <c r="BE81" s="438"/>
      <c r="BF81" s="438"/>
      <c r="BG81" s="438"/>
      <c r="BH81" s="438"/>
      <c r="BI81" s="438"/>
      <c r="BJ81" s="438"/>
      <c r="BK81" s="438"/>
      <c r="BL81" s="438"/>
      <c r="BM81" s="438"/>
      <c r="BN81" s="438"/>
      <c r="BO81" s="438"/>
      <c r="BP81" s="438"/>
      <c r="BQ81" s="438"/>
      <c r="BR81" s="438"/>
      <c r="BS81" s="438"/>
      <c r="BT81" s="438"/>
      <c r="BU81" s="438"/>
      <c r="BV81" s="438"/>
      <c r="BW81" s="438"/>
    </row>
    <row r="82" spans="25:75">
      <c r="Y82" s="429"/>
      <c r="Z82" s="429"/>
      <c r="AA82" s="429"/>
      <c r="AB82" s="429"/>
      <c r="AC82" s="429"/>
      <c r="AD82" s="429"/>
      <c r="AE82" s="429"/>
      <c r="AF82" s="429"/>
      <c r="AG82" s="429"/>
      <c r="AH82" s="429"/>
      <c r="AI82" s="437"/>
      <c r="AJ82" s="437"/>
      <c r="AK82" s="437"/>
      <c r="AL82" s="437"/>
      <c r="AM82" s="437"/>
      <c r="AN82" s="437"/>
      <c r="AO82" s="437"/>
      <c r="AP82" s="437"/>
      <c r="AQ82" s="437"/>
      <c r="AR82" s="437"/>
      <c r="AS82" s="437"/>
      <c r="AT82" s="437"/>
      <c r="AU82" s="438"/>
      <c r="AV82" s="438"/>
      <c r="AW82" s="438"/>
      <c r="AX82" s="438"/>
      <c r="AY82" s="438"/>
      <c r="AZ82" s="438"/>
      <c r="BA82" s="438"/>
      <c r="BB82" s="438"/>
      <c r="BC82" s="438"/>
      <c r="BD82" s="438"/>
      <c r="BE82" s="438"/>
      <c r="BF82" s="438"/>
      <c r="BG82" s="438"/>
      <c r="BH82" s="438"/>
      <c r="BI82" s="438"/>
      <c r="BJ82" s="438"/>
      <c r="BK82" s="438"/>
      <c r="BL82" s="438"/>
      <c r="BM82" s="438"/>
      <c r="BN82" s="438"/>
      <c r="BO82" s="438"/>
      <c r="BP82" s="438"/>
      <c r="BQ82" s="438"/>
      <c r="BR82" s="438"/>
      <c r="BS82" s="438"/>
      <c r="BT82" s="438"/>
      <c r="BU82" s="438"/>
      <c r="BV82" s="438"/>
      <c r="BW82" s="438"/>
    </row>
    <row r="83" spans="25:75">
      <c r="Y83" s="429"/>
      <c r="Z83" s="429"/>
      <c r="AA83" s="429"/>
      <c r="AB83" s="429"/>
      <c r="AC83" s="429"/>
      <c r="AD83" s="429"/>
      <c r="AE83" s="429"/>
      <c r="AF83" s="429"/>
      <c r="AG83" s="429"/>
      <c r="AH83" s="429"/>
      <c r="AI83" s="437"/>
      <c r="AJ83" s="437"/>
      <c r="AK83" s="437"/>
      <c r="AL83" s="437"/>
      <c r="AM83" s="437"/>
      <c r="AN83" s="437"/>
      <c r="AO83" s="437"/>
      <c r="AP83" s="437"/>
      <c r="AQ83" s="437"/>
      <c r="AR83" s="437"/>
      <c r="AS83" s="437"/>
      <c r="AT83" s="437"/>
      <c r="AU83" s="438"/>
      <c r="AV83" s="438"/>
      <c r="AW83" s="438"/>
      <c r="AX83" s="438"/>
      <c r="AY83" s="438"/>
      <c r="AZ83" s="438"/>
      <c r="BA83" s="438"/>
      <c r="BB83" s="438"/>
      <c r="BC83" s="438"/>
      <c r="BD83" s="438"/>
      <c r="BE83" s="438"/>
      <c r="BF83" s="438"/>
      <c r="BG83" s="438"/>
      <c r="BH83" s="438"/>
      <c r="BI83" s="438"/>
      <c r="BJ83" s="438"/>
      <c r="BK83" s="438"/>
      <c r="BL83" s="438"/>
      <c r="BM83" s="438"/>
      <c r="BN83" s="438"/>
      <c r="BO83" s="438"/>
      <c r="BP83" s="438"/>
      <c r="BQ83" s="438"/>
      <c r="BR83" s="438"/>
      <c r="BS83" s="438"/>
      <c r="BT83" s="438"/>
      <c r="BU83" s="438"/>
      <c r="BV83" s="438"/>
      <c r="BW83" s="438"/>
    </row>
    <row r="84" spans="25:75">
      <c r="Y84" s="429"/>
      <c r="Z84" s="429"/>
      <c r="AA84" s="429"/>
      <c r="AB84" s="429"/>
      <c r="AC84" s="429"/>
      <c r="AD84" s="429"/>
      <c r="AE84" s="429"/>
      <c r="AF84" s="429"/>
      <c r="AG84" s="429"/>
      <c r="AH84" s="429"/>
      <c r="AI84" s="437"/>
      <c r="AJ84" s="437"/>
      <c r="AK84" s="437"/>
      <c r="AL84" s="437"/>
      <c r="AM84" s="437"/>
      <c r="AN84" s="437"/>
      <c r="AO84" s="437"/>
      <c r="AP84" s="437"/>
      <c r="AQ84" s="437"/>
      <c r="AR84" s="437"/>
      <c r="AS84" s="437"/>
      <c r="AT84" s="437"/>
      <c r="AU84" s="438"/>
      <c r="AV84" s="438"/>
      <c r="AW84" s="438"/>
      <c r="AX84" s="438"/>
      <c r="AY84" s="438"/>
      <c r="AZ84" s="438"/>
      <c r="BA84" s="438"/>
      <c r="BB84" s="438"/>
      <c r="BC84" s="438"/>
      <c r="BD84" s="438"/>
      <c r="BE84" s="438"/>
      <c r="BF84" s="438"/>
      <c r="BG84" s="438"/>
      <c r="BH84" s="438"/>
      <c r="BI84" s="438"/>
      <c r="BJ84" s="438"/>
      <c r="BK84" s="438"/>
      <c r="BL84" s="438"/>
      <c r="BM84" s="438"/>
      <c r="BN84" s="438"/>
      <c r="BO84" s="438"/>
      <c r="BP84" s="438"/>
      <c r="BQ84" s="438"/>
      <c r="BR84" s="438"/>
      <c r="BS84" s="438"/>
      <c r="BT84" s="438"/>
      <c r="BU84" s="438"/>
      <c r="BV84" s="438"/>
      <c r="BW84" s="438"/>
    </row>
    <row r="85" spans="25:75">
      <c r="Y85" s="429"/>
      <c r="Z85" s="429"/>
      <c r="AA85" s="429"/>
      <c r="AB85" s="429"/>
      <c r="AC85" s="429"/>
      <c r="AD85" s="429"/>
      <c r="AE85" s="429"/>
      <c r="AF85" s="429"/>
      <c r="AG85" s="429"/>
      <c r="AH85" s="429"/>
      <c r="AI85" s="437"/>
      <c r="AJ85" s="437"/>
      <c r="AK85" s="437"/>
      <c r="AL85" s="437"/>
      <c r="AM85" s="437"/>
      <c r="AN85" s="437"/>
      <c r="AO85" s="437"/>
      <c r="AP85" s="437"/>
      <c r="AQ85" s="437"/>
      <c r="AR85" s="437"/>
      <c r="AS85" s="437"/>
      <c r="AT85" s="437"/>
      <c r="AU85" s="438"/>
      <c r="AV85" s="438"/>
      <c r="AW85" s="438"/>
      <c r="AX85" s="438"/>
      <c r="AY85" s="438"/>
      <c r="AZ85" s="438"/>
      <c r="BA85" s="438"/>
      <c r="BB85" s="438"/>
      <c r="BC85" s="438"/>
      <c r="BD85" s="438"/>
      <c r="BE85" s="438"/>
      <c r="BF85" s="438"/>
      <c r="BG85" s="438"/>
      <c r="BH85" s="438"/>
      <c r="BI85" s="438"/>
      <c r="BJ85" s="438"/>
      <c r="BK85" s="438"/>
      <c r="BL85" s="438"/>
      <c r="BM85" s="438"/>
      <c r="BN85" s="438"/>
      <c r="BO85" s="438"/>
      <c r="BP85" s="438"/>
      <c r="BQ85" s="438"/>
      <c r="BR85" s="438"/>
      <c r="BS85" s="438"/>
      <c r="BT85" s="438"/>
      <c r="BU85" s="438"/>
      <c r="BV85" s="438"/>
      <c r="BW85" s="438"/>
    </row>
    <row r="86" spans="25:75">
      <c r="Y86" s="429"/>
      <c r="Z86" s="429"/>
      <c r="AA86" s="429"/>
      <c r="AB86" s="429"/>
      <c r="AC86" s="429"/>
      <c r="AD86" s="429"/>
      <c r="AE86" s="429"/>
      <c r="AF86" s="429"/>
      <c r="AG86" s="429"/>
      <c r="AH86" s="429"/>
      <c r="AI86" s="437"/>
      <c r="AJ86" s="437"/>
      <c r="AK86" s="437"/>
      <c r="AL86" s="437"/>
      <c r="AM86" s="437"/>
      <c r="AN86" s="437"/>
      <c r="AO86" s="437"/>
      <c r="AP86" s="437"/>
      <c r="AQ86" s="437"/>
      <c r="AR86" s="437"/>
      <c r="AS86" s="437"/>
      <c r="AT86" s="437"/>
      <c r="AU86" s="438"/>
      <c r="AV86" s="438"/>
      <c r="AW86" s="438"/>
      <c r="AX86" s="438"/>
      <c r="AY86" s="438"/>
      <c r="AZ86" s="438"/>
      <c r="BA86" s="438"/>
      <c r="BB86" s="438"/>
      <c r="BC86" s="438"/>
      <c r="BD86" s="438"/>
      <c r="BE86" s="438"/>
      <c r="BF86" s="438"/>
      <c r="BG86" s="438"/>
      <c r="BH86" s="438"/>
      <c r="BI86" s="438"/>
      <c r="BJ86" s="438"/>
      <c r="BK86" s="438"/>
      <c r="BL86" s="438"/>
      <c r="BM86" s="438"/>
      <c r="BN86" s="438"/>
      <c r="BO86" s="438"/>
      <c r="BP86" s="438"/>
      <c r="BQ86" s="438"/>
      <c r="BR86" s="438"/>
      <c r="BS86" s="438"/>
      <c r="BT86" s="438"/>
      <c r="BU86" s="438"/>
      <c r="BV86" s="438"/>
      <c r="BW86" s="438"/>
    </row>
    <row r="87" spans="25:75">
      <c r="Y87" s="429"/>
      <c r="Z87" s="429"/>
      <c r="AA87" s="429"/>
      <c r="AB87" s="429"/>
      <c r="AC87" s="429"/>
      <c r="AD87" s="429"/>
      <c r="AE87" s="429"/>
      <c r="AF87" s="429"/>
      <c r="AG87" s="429"/>
      <c r="AH87" s="429"/>
      <c r="AI87" s="437"/>
      <c r="AJ87" s="437"/>
      <c r="AK87" s="437"/>
      <c r="AL87" s="437"/>
      <c r="AM87" s="437"/>
      <c r="AN87" s="437"/>
      <c r="AO87" s="437"/>
      <c r="AP87" s="437"/>
      <c r="AQ87" s="437"/>
      <c r="AR87" s="437"/>
      <c r="AS87" s="437"/>
      <c r="AT87" s="437"/>
      <c r="AU87" s="438"/>
      <c r="AV87" s="438"/>
      <c r="AW87" s="438"/>
      <c r="AX87" s="438"/>
      <c r="AY87" s="438"/>
      <c r="AZ87" s="438"/>
      <c r="BA87" s="438"/>
      <c r="BB87" s="438"/>
      <c r="BC87" s="438"/>
      <c r="BD87" s="438"/>
      <c r="BE87" s="438"/>
      <c r="BF87" s="438"/>
      <c r="BG87" s="438"/>
      <c r="BH87" s="438"/>
      <c r="BI87" s="438"/>
      <c r="BJ87" s="438"/>
      <c r="BK87" s="438"/>
      <c r="BL87" s="438"/>
      <c r="BM87" s="438"/>
      <c r="BN87" s="438"/>
      <c r="BO87" s="438"/>
      <c r="BP87" s="438"/>
      <c r="BQ87" s="438"/>
      <c r="BR87" s="438"/>
      <c r="BS87" s="438"/>
      <c r="BT87" s="438"/>
      <c r="BU87" s="438"/>
      <c r="BV87" s="438"/>
      <c r="BW87" s="438"/>
    </row>
    <row r="88" spans="25:75">
      <c r="Y88" s="429"/>
      <c r="Z88" s="429"/>
      <c r="AA88" s="429"/>
      <c r="AB88" s="429"/>
      <c r="AC88" s="429"/>
      <c r="AD88" s="429"/>
      <c r="AE88" s="429"/>
      <c r="AF88" s="429"/>
      <c r="AG88" s="429"/>
      <c r="AH88" s="429"/>
      <c r="AI88" s="437"/>
      <c r="AJ88" s="437"/>
      <c r="AK88" s="437"/>
      <c r="AL88" s="437"/>
      <c r="AM88" s="437"/>
      <c r="AN88" s="437"/>
      <c r="AO88" s="437"/>
      <c r="AP88" s="437"/>
      <c r="AQ88" s="437"/>
      <c r="AR88" s="437"/>
      <c r="AS88" s="437"/>
      <c r="AT88" s="437"/>
      <c r="AU88" s="438"/>
      <c r="AV88" s="438"/>
      <c r="AW88" s="438"/>
      <c r="AX88" s="438"/>
      <c r="AY88" s="438"/>
      <c r="AZ88" s="438"/>
      <c r="BA88" s="438"/>
      <c r="BB88" s="438"/>
      <c r="BC88" s="438"/>
      <c r="BD88" s="438"/>
      <c r="BE88" s="438"/>
      <c r="BF88" s="438"/>
      <c r="BG88" s="438"/>
      <c r="BH88" s="438"/>
      <c r="BI88" s="438"/>
      <c r="BJ88" s="438"/>
      <c r="BK88" s="438"/>
      <c r="BL88" s="438"/>
      <c r="BM88" s="438"/>
      <c r="BN88" s="438"/>
      <c r="BO88" s="438"/>
      <c r="BP88" s="438"/>
      <c r="BQ88" s="438"/>
      <c r="BR88" s="438"/>
      <c r="BS88" s="438"/>
      <c r="BT88" s="438"/>
      <c r="BU88" s="438"/>
      <c r="BV88" s="438"/>
      <c r="BW88" s="438"/>
    </row>
    <row r="89" spans="25:75">
      <c r="Y89" s="429"/>
      <c r="Z89" s="429"/>
      <c r="AA89" s="429"/>
      <c r="AB89" s="429"/>
      <c r="AC89" s="429"/>
      <c r="AD89" s="429"/>
      <c r="AE89" s="429"/>
      <c r="AF89" s="429"/>
      <c r="AG89" s="429"/>
      <c r="AH89" s="429"/>
      <c r="AI89" s="437"/>
      <c r="AJ89" s="437"/>
      <c r="AK89" s="437"/>
      <c r="AL89" s="437"/>
      <c r="AM89" s="437"/>
      <c r="AN89" s="437"/>
      <c r="AO89" s="437"/>
      <c r="AP89" s="437"/>
      <c r="AQ89" s="437"/>
      <c r="AR89" s="437"/>
      <c r="AS89" s="437"/>
      <c r="AT89" s="437"/>
      <c r="AU89" s="438"/>
      <c r="AV89" s="438"/>
      <c r="AW89" s="438"/>
      <c r="AX89" s="438"/>
      <c r="AY89" s="438"/>
      <c r="AZ89" s="438"/>
      <c r="BA89" s="438"/>
      <c r="BB89" s="438"/>
      <c r="BC89" s="438"/>
      <c r="BD89" s="438"/>
      <c r="BE89" s="438"/>
      <c r="BF89" s="438"/>
      <c r="BG89" s="438"/>
      <c r="BH89" s="438"/>
      <c r="BI89" s="438"/>
      <c r="BJ89" s="438"/>
      <c r="BK89" s="438"/>
      <c r="BL89" s="438"/>
      <c r="BM89" s="438"/>
      <c r="BN89" s="438"/>
      <c r="BO89" s="438"/>
      <c r="BP89" s="438"/>
      <c r="BQ89" s="438"/>
      <c r="BR89" s="438"/>
      <c r="BS89" s="438"/>
      <c r="BT89" s="438"/>
      <c r="BU89" s="438"/>
      <c r="BV89" s="438"/>
      <c r="BW89" s="438"/>
    </row>
    <row r="90" spans="25:75">
      <c r="Y90" s="429"/>
      <c r="Z90" s="429"/>
      <c r="AA90" s="429"/>
      <c r="AB90" s="429"/>
      <c r="AC90" s="429"/>
      <c r="AD90" s="429"/>
      <c r="AE90" s="429"/>
      <c r="AF90" s="429"/>
      <c r="AG90" s="429"/>
      <c r="AH90" s="429"/>
      <c r="AI90" s="437"/>
      <c r="AJ90" s="437"/>
      <c r="AK90" s="437"/>
      <c r="AL90" s="437"/>
      <c r="AM90" s="437"/>
      <c r="AN90" s="437"/>
      <c r="AO90" s="437"/>
      <c r="AP90" s="437"/>
      <c r="AQ90" s="437"/>
      <c r="AR90" s="437"/>
      <c r="AS90" s="437"/>
      <c r="AT90" s="437"/>
      <c r="AU90" s="438"/>
      <c r="AV90" s="438"/>
      <c r="AW90" s="438"/>
      <c r="AX90" s="438"/>
      <c r="AY90" s="438"/>
      <c r="AZ90" s="438"/>
      <c r="BA90" s="438"/>
      <c r="BB90" s="438"/>
      <c r="BC90" s="438"/>
      <c r="BD90" s="438"/>
      <c r="BE90" s="438"/>
      <c r="BF90" s="438"/>
      <c r="BG90" s="438"/>
      <c r="BH90" s="438"/>
      <c r="BI90" s="438"/>
      <c r="BJ90" s="438"/>
      <c r="BK90" s="438"/>
      <c r="BL90" s="438"/>
      <c r="BM90" s="438"/>
      <c r="BN90" s="438"/>
      <c r="BO90" s="438"/>
      <c r="BP90" s="438"/>
      <c r="BQ90" s="438"/>
      <c r="BR90" s="438"/>
      <c r="BS90" s="438"/>
      <c r="BT90" s="438"/>
      <c r="BU90" s="438"/>
      <c r="BV90" s="438"/>
      <c r="BW90" s="438"/>
    </row>
    <row r="91" spans="25:75">
      <c r="Y91" s="429"/>
      <c r="Z91" s="429"/>
      <c r="AA91" s="429"/>
      <c r="AB91" s="429"/>
      <c r="AC91" s="429"/>
      <c r="AD91" s="429"/>
      <c r="AE91" s="429"/>
      <c r="AF91" s="429"/>
      <c r="AG91" s="429"/>
      <c r="AH91" s="429"/>
      <c r="AI91" s="437"/>
      <c r="AJ91" s="437"/>
      <c r="AK91" s="437"/>
      <c r="AL91" s="437"/>
      <c r="AM91" s="437"/>
      <c r="AN91" s="437"/>
      <c r="AO91" s="437"/>
      <c r="AP91" s="437"/>
      <c r="AQ91" s="437"/>
      <c r="AR91" s="437"/>
      <c r="AS91" s="437"/>
      <c r="AT91" s="437"/>
      <c r="AU91" s="438"/>
      <c r="AV91" s="438"/>
      <c r="AW91" s="438"/>
      <c r="AX91" s="438"/>
      <c r="AY91" s="438"/>
      <c r="AZ91" s="438"/>
      <c r="BA91" s="438"/>
      <c r="BB91" s="438"/>
      <c r="BC91" s="438"/>
      <c r="BD91" s="438"/>
      <c r="BE91" s="438"/>
      <c r="BF91" s="438"/>
      <c r="BG91" s="438"/>
      <c r="BH91" s="438"/>
      <c r="BI91" s="438"/>
      <c r="BJ91" s="438"/>
      <c r="BK91" s="438"/>
      <c r="BL91" s="438"/>
      <c r="BM91" s="438"/>
      <c r="BN91" s="438"/>
      <c r="BO91" s="438"/>
      <c r="BP91" s="438"/>
      <c r="BQ91" s="438"/>
      <c r="BR91" s="438"/>
      <c r="BS91" s="438"/>
      <c r="BT91" s="438"/>
      <c r="BU91" s="438"/>
      <c r="BV91" s="438"/>
      <c r="BW91" s="438"/>
    </row>
  </sheetData>
  <mergeCells count="159">
    <mergeCell ref="A45:B48"/>
    <mergeCell ref="C45:D46"/>
    <mergeCell ref="C47:D48"/>
    <mergeCell ref="C50:D51"/>
    <mergeCell ref="F54:G55"/>
    <mergeCell ref="H51:I51"/>
    <mergeCell ref="H52:I53"/>
    <mergeCell ref="H54:I55"/>
    <mergeCell ref="F46:G46"/>
    <mergeCell ref="F47:G47"/>
    <mergeCell ref="F48:G48"/>
    <mergeCell ref="H45:I45"/>
    <mergeCell ref="H46:I46"/>
    <mergeCell ref="H47:I47"/>
    <mergeCell ref="H48:I48"/>
    <mergeCell ref="F50:I50"/>
    <mergeCell ref="F51:G51"/>
    <mergeCell ref="F52:G53"/>
    <mergeCell ref="T3:AH3"/>
    <mergeCell ref="C3:C4"/>
    <mergeCell ref="A3:A4"/>
    <mergeCell ref="B3:B4"/>
    <mergeCell ref="D3:E4"/>
    <mergeCell ref="D5:E5"/>
    <mergeCell ref="D7:E7"/>
    <mergeCell ref="A10:A11"/>
    <mergeCell ref="B12:B16"/>
    <mergeCell ref="A12:A16"/>
    <mergeCell ref="B10:B11"/>
    <mergeCell ref="C10:C11"/>
    <mergeCell ref="C12:C16"/>
    <mergeCell ref="B5:B8"/>
    <mergeCell ref="D6:E6"/>
    <mergeCell ref="A5:A8"/>
    <mergeCell ref="C5:C8"/>
    <mergeCell ref="D8:E8"/>
    <mergeCell ref="F3:R3"/>
    <mergeCell ref="M16:Q16"/>
    <mergeCell ref="D10:E11"/>
    <mergeCell ref="D12:E12"/>
    <mergeCell ref="D13:E13"/>
    <mergeCell ref="D14:E14"/>
    <mergeCell ref="A63:F63"/>
    <mergeCell ref="C2:N2"/>
    <mergeCell ref="B18:C18"/>
    <mergeCell ref="A25:A26"/>
    <mergeCell ref="B25:C26"/>
    <mergeCell ref="B31:B34"/>
    <mergeCell ref="E52:E53"/>
    <mergeCell ref="E50:E51"/>
    <mergeCell ref="C54:D55"/>
    <mergeCell ref="H31:I31"/>
    <mergeCell ref="F38:G38"/>
    <mergeCell ref="H38:I38"/>
    <mergeCell ref="A31:A34"/>
    <mergeCell ref="A35:A37"/>
    <mergeCell ref="B35:B37"/>
    <mergeCell ref="E35:E37"/>
    <mergeCell ref="B38:B41"/>
    <mergeCell ref="G63:J63"/>
    <mergeCell ref="E54:E55"/>
    <mergeCell ref="A50:B51"/>
    <mergeCell ref="E43:E44"/>
    <mergeCell ref="C52:D53"/>
    <mergeCell ref="A52:B55"/>
    <mergeCell ref="M36:R38"/>
    <mergeCell ref="K44:L48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F18:G18"/>
    <mergeCell ref="H44:I44"/>
    <mergeCell ref="F44:G44"/>
    <mergeCell ref="F43:I43"/>
    <mergeCell ref="F45:G45"/>
    <mergeCell ref="H30:I30"/>
    <mergeCell ref="K39:L41"/>
    <mergeCell ref="H39:I39"/>
    <mergeCell ref="K36:L38"/>
    <mergeCell ref="K31:K34"/>
    <mergeCell ref="AX68:AZ69"/>
    <mergeCell ref="BA68:BG69"/>
    <mergeCell ref="BH68:BJ69"/>
    <mergeCell ref="AX70:AZ74"/>
    <mergeCell ref="BA70:BB74"/>
    <mergeCell ref="BC70:BG74"/>
    <mergeCell ref="BH70:BJ74"/>
    <mergeCell ref="P28:Q28"/>
    <mergeCell ref="P29:Q30"/>
    <mergeCell ref="M44:R48"/>
    <mergeCell ref="R29:R30"/>
    <mergeCell ref="M39:R41"/>
    <mergeCell ref="D15:E15"/>
    <mergeCell ref="D16:E16"/>
    <mergeCell ref="F10:G10"/>
    <mergeCell ref="M25:Q25"/>
    <mergeCell ref="M26:Q26"/>
    <mergeCell ref="L10:R14"/>
    <mergeCell ref="J10:K14"/>
    <mergeCell ref="K17:L19"/>
    <mergeCell ref="M17:Q19"/>
    <mergeCell ref="M20:Q22"/>
    <mergeCell ref="K20:L22"/>
    <mergeCell ref="K23:L26"/>
    <mergeCell ref="M23:Q23"/>
    <mergeCell ref="R17:R19"/>
    <mergeCell ref="R20:R22"/>
    <mergeCell ref="K16:L16"/>
    <mergeCell ref="A21:A22"/>
    <mergeCell ref="B21:C22"/>
    <mergeCell ref="A19:A20"/>
    <mergeCell ref="B19:C20"/>
    <mergeCell ref="A23:A24"/>
    <mergeCell ref="B23:C24"/>
    <mergeCell ref="F19:G26"/>
    <mergeCell ref="R31:R34"/>
    <mergeCell ref="K28:M28"/>
    <mergeCell ref="N28:O28"/>
    <mergeCell ref="N29:O30"/>
    <mergeCell ref="L29:M30"/>
    <mergeCell ref="N31:Q34"/>
    <mergeCell ref="L31:M34"/>
    <mergeCell ref="M24:Q24"/>
    <mergeCell ref="F32:G32"/>
    <mergeCell ref="F33:G33"/>
    <mergeCell ref="F34:G34"/>
    <mergeCell ref="H34:I34"/>
    <mergeCell ref="H33:I33"/>
    <mergeCell ref="H32:I32"/>
    <mergeCell ref="K51:L55"/>
    <mergeCell ref="M51:R55"/>
    <mergeCell ref="A43:B44"/>
    <mergeCell ref="C43:D44"/>
    <mergeCell ref="C35:D37"/>
    <mergeCell ref="C38:D41"/>
    <mergeCell ref="C28:D30"/>
    <mergeCell ref="B28:B30"/>
    <mergeCell ref="A28:A30"/>
    <mergeCell ref="E28:E30"/>
    <mergeCell ref="F28:I28"/>
    <mergeCell ref="C31:D34"/>
    <mergeCell ref="F35:I35"/>
    <mergeCell ref="F29:I29"/>
    <mergeCell ref="F36:I36"/>
    <mergeCell ref="F37:G37"/>
    <mergeCell ref="H37:I37"/>
    <mergeCell ref="F30:G30"/>
    <mergeCell ref="F31:G31"/>
    <mergeCell ref="F39:G39"/>
    <mergeCell ref="F40:G40"/>
    <mergeCell ref="F41:G41"/>
    <mergeCell ref="H41:I41"/>
    <mergeCell ref="H40:I40"/>
  </mergeCells>
  <phoneticPr fontId="24" type="noConversion"/>
  <printOptions horizontalCentered="1"/>
  <pageMargins left="0" right="0.15748031496062992" top="0" bottom="0" header="3.937007874015748E-2" footer="0.11811023622047245"/>
  <pageSetup paperSize="9" scale="35" orientation="landscape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tabColor rgb="FFC00000"/>
    <pageSetUpPr fitToPage="1"/>
  </sheetPr>
  <dimension ref="A1:T44"/>
  <sheetViews>
    <sheetView showGridLines="0" topLeftCell="A31" zoomScale="50" zoomScaleNormal="50" zoomScaleSheetLayoutView="40" zoomScalePageLayoutView="19" workbookViewId="0">
      <selection activeCell="C49" sqref="C49"/>
    </sheetView>
  </sheetViews>
  <sheetFormatPr defaultRowHeight="20.25"/>
  <cols>
    <col min="1" max="1" width="32.42578125" style="11" customWidth="1"/>
    <col min="2" max="2" width="30.42578125" style="11" customWidth="1"/>
    <col min="3" max="3" width="24.42578125" style="11" customWidth="1"/>
    <col min="4" max="4" width="17.28515625" style="11" customWidth="1"/>
    <col min="5" max="17" width="17.7109375" style="11" customWidth="1"/>
    <col min="18" max="18" width="13.85546875" style="11" hidden="1" customWidth="1"/>
    <col min="19" max="19" width="13.7109375" style="11" hidden="1" customWidth="1"/>
    <col min="20" max="20" width="10.85546875" style="11" bestFit="1" customWidth="1"/>
    <col min="21" max="21" width="12.5703125" style="11" customWidth="1"/>
    <col min="22" max="16384" width="9.140625" style="11"/>
  </cols>
  <sheetData>
    <row r="1" spans="1:19" ht="75.75" customHeight="1">
      <c r="A1" s="382" t="s">
        <v>436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59"/>
    </row>
    <row r="2" spans="1:19" ht="33" customHeight="1">
      <c r="B2" s="1399" t="s">
        <v>549</v>
      </c>
      <c r="C2" s="1399"/>
      <c r="D2" s="1399"/>
      <c r="E2" s="1399"/>
      <c r="F2" s="1399"/>
      <c r="G2" s="1399"/>
      <c r="H2" s="1399"/>
      <c r="I2" s="1399"/>
      <c r="J2" s="1399"/>
      <c r="K2" s="1399"/>
      <c r="L2" s="1399"/>
      <c r="M2" s="1399"/>
      <c r="P2" s="383"/>
      <c r="Q2" s="532"/>
      <c r="R2" s="61"/>
    </row>
    <row r="3" spans="1:19" ht="24.95" customHeight="1">
      <c r="A3" s="1229" t="s">
        <v>200</v>
      </c>
      <c r="B3" s="1228" t="s">
        <v>437</v>
      </c>
      <c r="C3" s="1228" t="s">
        <v>106</v>
      </c>
      <c r="D3" s="1228" t="s">
        <v>190</v>
      </c>
      <c r="E3" s="1226" t="s">
        <v>191</v>
      </c>
      <c r="F3" s="1226"/>
      <c r="G3" s="1226"/>
      <c r="H3" s="1226"/>
      <c r="I3" s="1226"/>
      <c r="J3" s="1226"/>
      <c r="K3" s="1226"/>
      <c r="L3" s="1226"/>
      <c r="M3" s="1226"/>
      <c r="N3" s="1226"/>
      <c r="O3" s="1226"/>
      <c r="P3" s="1226"/>
      <c r="Q3" s="1226"/>
      <c r="R3" s="622" t="s">
        <v>66</v>
      </c>
    </row>
    <row r="4" spans="1:19" ht="24.95" customHeight="1">
      <c r="A4" s="1231"/>
      <c r="B4" s="1228"/>
      <c r="C4" s="1228"/>
      <c r="D4" s="1228"/>
      <c r="E4" s="367">
        <v>3</v>
      </c>
      <c r="F4" s="367">
        <v>3.5</v>
      </c>
      <c r="G4" s="367">
        <v>4</v>
      </c>
      <c r="H4" s="367">
        <v>4.5</v>
      </c>
      <c r="I4" s="367">
        <v>5</v>
      </c>
      <c r="J4" s="367">
        <v>5.5</v>
      </c>
      <c r="K4" s="367">
        <v>6</v>
      </c>
      <c r="L4" s="367">
        <v>6.5</v>
      </c>
      <c r="M4" s="367">
        <v>7</v>
      </c>
      <c r="N4" s="367">
        <v>7.5</v>
      </c>
      <c r="O4" s="367">
        <v>8</v>
      </c>
      <c r="P4" s="367">
        <v>8.5</v>
      </c>
      <c r="Q4" s="367">
        <v>9</v>
      </c>
      <c r="R4" s="622"/>
    </row>
    <row r="5" spans="1:19" ht="33" customHeight="1">
      <c r="A5" s="1346"/>
      <c r="B5" s="1361" t="s">
        <v>109</v>
      </c>
      <c r="C5" s="1382" t="s">
        <v>110</v>
      </c>
      <c r="D5" s="23">
        <v>2.0299999999999998</v>
      </c>
      <c r="E5" s="368">
        <f>ROUND(60246*(1-$E$42),2)</f>
        <v>60246</v>
      </c>
      <c r="F5" s="368">
        <f>ROUND(70287*(1-$E$42),2)</f>
        <v>70287</v>
      </c>
      <c r="G5" s="368">
        <f>ROUND(80328*(1-$E$42),2)</f>
        <v>80328</v>
      </c>
      <c r="H5" s="368">
        <f>ROUND(90368*(1-$E$42),2)</f>
        <v>90368</v>
      </c>
      <c r="I5" s="368">
        <f>ROUND(118128*(1-$E$42),2)</f>
        <v>118128</v>
      </c>
      <c r="J5" s="368">
        <f>ROUND(129941*(1-$E$42),2)</f>
        <v>129941</v>
      </c>
      <c r="K5" s="368">
        <f>ROUND(141754*(1-$E$42),2)</f>
        <v>141754</v>
      </c>
      <c r="L5" s="368">
        <f>ROUND(153566*(1-$E$42),2)</f>
        <v>153566</v>
      </c>
      <c r="M5" s="368">
        <f>ROUND(165379*(1-$E$42),2)</f>
        <v>165379</v>
      </c>
      <c r="N5" s="368">
        <f>ROUND(177192*(1-$E$42),2)</f>
        <v>177192</v>
      </c>
      <c r="O5" s="368">
        <f>ROUND(189005*(1-$E$42),2)</f>
        <v>189005</v>
      </c>
      <c r="P5" s="368">
        <f>ROUND(200818*(1-$E$42),2)</f>
        <v>200818</v>
      </c>
      <c r="Q5" s="368">
        <f>ROUND(212630*(1-$E$42),2)</f>
        <v>212630</v>
      </c>
      <c r="R5" s="622"/>
    </row>
    <row r="6" spans="1:19" ht="33" customHeight="1">
      <c r="A6" s="1346"/>
      <c r="B6" s="1361"/>
      <c r="C6" s="1383"/>
      <c r="D6" s="369">
        <v>2.23</v>
      </c>
      <c r="E6" s="370">
        <f>ROUND(66270*(1-$E$42),2)</f>
        <v>66270</v>
      </c>
      <c r="F6" s="370">
        <f>ROUND(77316*(1-$E$42),2)</f>
        <v>77316</v>
      </c>
      <c r="G6" s="370">
        <f>ROUND(88360*(1-$E$42),2)</f>
        <v>88360</v>
      </c>
      <c r="H6" s="370">
        <f>ROUND(99405*(1-$E$42),2)</f>
        <v>99405</v>
      </c>
      <c r="I6" s="370">
        <f>ROUND(129941*(1-$E$42),2)</f>
        <v>129941</v>
      </c>
      <c r="J6" s="370">
        <f>ROUND(142936*(1-$E$42),2)</f>
        <v>142936</v>
      </c>
      <c r="K6" s="370">
        <f>ROUND(155930*(1-$E$42),2)</f>
        <v>155930</v>
      </c>
      <c r="L6" s="370">
        <f>ROUND(168924*(1-$E$42),2)</f>
        <v>168924</v>
      </c>
      <c r="M6" s="370">
        <f>ROUND(181917*(1-$E$42),2)</f>
        <v>181917</v>
      </c>
      <c r="N6" s="370">
        <f>ROUND(194911*(1-$E$42),2)</f>
        <v>194911</v>
      </c>
      <c r="O6" s="370">
        <f>ROUND(207906*(1-$E$42),2)</f>
        <v>207906</v>
      </c>
      <c r="P6" s="370">
        <f>ROUND(220900*(1-$E$42),2)</f>
        <v>220900</v>
      </c>
      <c r="Q6" s="370">
        <f>ROUND(233894*(1-$E$42),2)</f>
        <v>233894</v>
      </c>
      <c r="R6" s="622"/>
    </row>
    <row r="7" spans="1:19" ht="33" customHeight="1">
      <c r="A7" s="1346"/>
      <c r="B7" s="1361"/>
      <c r="C7" s="1384"/>
      <c r="D7" s="25">
        <v>2.4300000000000002</v>
      </c>
      <c r="E7" s="371">
        <f>ROUND(72897*(1-$E$42),2)</f>
        <v>72897</v>
      </c>
      <c r="F7" s="371">
        <f>ROUND(85047*(1-$E$42),2)</f>
        <v>85047</v>
      </c>
      <c r="G7" s="371">
        <f>ROUND(97197*(1-$E$42),2)</f>
        <v>97197</v>
      </c>
      <c r="H7" s="371">
        <f>ROUND(109345*(1-$E$42),2)</f>
        <v>109345</v>
      </c>
      <c r="I7" s="371">
        <f>ROUND(142936*(1-$E$42),2)</f>
        <v>142936</v>
      </c>
      <c r="J7" s="371">
        <f>ROUND(157229*(1-$E$42),2)</f>
        <v>157229</v>
      </c>
      <c r="K7" s="371">
        <f>ROUND(171523*(1-$E$42),2)</f>
        <v>171523</v>
      </c>
      <c r="L7" s="371">
        <f>ROUND(185816*(1-$E$42),2)</f>
        <v>185816</v>
      </c>
      <c r="M7" s="371">
        <f>ROUND(200109*(1-$E$42),2)</f>
        <v>200109</v>
      </c>
      <c r="N7" s="371">
        <f>ROUND(214403*(1-$E$42),2)</f>
        <v>214403</v>
      </c>
      <c r="O7" s="371">
        <f>ROUND(228696*(1-$E$42),2)</f>
        <v>228696</v>
      </c>
      <c r="P7" s="371">
        <f>ROUND(242990*(1-$E$42),2)</f>
        <v>242990</v>
      </c>
      <c r="Q7" s="371">
        <f>ROUND(257284*(1-$E$42),2)</f>
        <v>257284</v>
      </c>
      <c r="R7" s="623"/>
    </row>
    <row r="8" spans="1:19" ht="33" customHeight="1">
      <c r="A8" s="1362"/>
      <c r="B8" s="1361" t="s">
        <v>104</v>
      </c>
      <c r="C8" s="1382" t="s">
        <v>111</v>
      </c>
      <c r="D8" s="23">
        <v>2.0299999999999998</v>
      </c>
      <c r="E8" s="368">
        <f>ROUND(65667*(1-$E$42),2)</f>
        <v>65667</v>
      </c>
      <c r="F8" s="368">
        <f>ROUND(76613*(1-$E$42),2)</f>
        <v>76613</v>
      </c>
      <c r="G8" s="368">
        <f>ROUND(87556*(1-$E$42),2)</f>
        <v>87556</v>
      </c>
      <c r="H8" s="368">
        <f>ROUND(98502*(1-$E$42),2)</f>
        <v>98502</v>
      </c>
      <c r="I8" s="368">
        <f>ROUND(128760*(1-$E$42),2)</f>
        <v>128760</v>
      </c>
      <c r="J8" s="368">
        <f>ROUND(141636*(1-$E$42),2)</f>
        <v>141636</v>
      </c>
      <c r="K8" s="368">
        <f>ROUND(154462*(1-$E$42),2)</f>
        <v>154462</v>
      </c>
      <c r="L8" s="368">
        <f>ROUND(167388*(1-$E$42),2)</f>
        <v>167388</v>
      </c>
      <c r="M8" s="368">
        <f>ROUND(180264*(1-$E$42),2)</f>
        <v>180264</v>
      </c>
      <c r="N8" s="368">
        <f>ROUND(193140*(1-$E$42),2)</f>
        <v>193140</v>
      </c>
      <c r="O8" s="368">
        <f>ROUND(206016*(1-$E$42),2)</f>
        <v>206016</v>
      </c>
      <c r="P8" s="368">
        <f>ROUND(218892*(1-$E$42),2)</f>
        <v>218892</v>
      </c>
      <c r="Q8" s="368">
        <f>ROUND(231768*(1-$E$42),2)</f>
        <v>231768</v>
      </c>
      <c r="R8" s="622"/>
    </row>
    <row r="9" spans="1:19" ht="33" customHeight="1">
      <c r="A9" s="1362"/>
      <c r="B9" s="1360"/>
      <c r="C9" s="1383"/>
      <c r="D9" s="369">
        <v>2.23</v>
      </c>
      <c r="E9" s="370">
        <f>ROUND(72235*(1-$E$42),2)</f>
        <v>72235</v>
      </c>
      <c r="F9" s="370">
        <f>ROUND(84273*(1-$E$42),2)</f>
        <v>84273</v>
      </c>
      <c r="G9" s="370">
        <f>ROUND(96313*(1-$E$42),2)</f>
        <v>96313</v>
      </c>
      <c r="H9" s="370">
        <f>ROUND(108352*(1-$E$42),2)</f>
        <v>108352</v>
      </c>
      <c r="I9" s="370">
        <f>ROUND(141636*(1-$E$42),2)</f>
        <v>141636</v>
      </c>
      <c r="J9" s="370">
        <f>ROUND(155799*(1-$E$42),2)</f>
        <v>155799</v>
      </c>
      <c r="K9" s="370">
        <f>ROUND(169963*(1-$E$42),2)</f>
        <v>169963</v>
      </c>
      <c r="L9" s="370">
        <f>ROUND(184127*(1-$E$42),2)</f>
        <v>184127</v>
      </c>
      <c r="M9" s="370">
        <f>ROUND(198291*(1-$E$42),2)</f>
        <v>198291</v>
      </c>
      <c r="N9" s="370">
        <f>ROUND(212453*(1-$E$42),2)</f>
        <v>212453</v>
      </c>
      <c r="O9" s="370">
        <f>ROUND(226617*(1-$E$42),2)</f>
        <v>226617</v>
      </c>
      <c r="P9" s="370">
        <f>ROUND(240781*(1-$E$42),2)</f>
        <v>240781</v>
      </c>
      <c r="Q9" s="370">
        <f>ROUND(254945*(1-$E$42),2)</f>
        <v>254945</v>
      </c>
      <c r="R9" s="622"/>
    </row>
    <row r="10" spans="1:19" ht="33" customHeight="1">
      <c r="A10" s="1362"/>
      <c r="B10" s="1360"/>
      <c r="C10" s="1384"/>
      <c r="D10" s="25">
        <v>2.4300000000000002</v>
      </c>
      <c r="E10" s="371">
        <f>ROUND(79458*(1-$E$42),2)</f>
        <v>79458</v>
      </c>
      <c r="F10" s="371">
        <f>ROUND(92702*(1-$E$42),2)</f>
        <v>92702</v>
      </c>
      <c r="G10" s="371">
        <f>ROUND(105944*(1-$E$42),2)</f>
        <v>105944</v>
      </c>
      <c r="H10" s="371">
        <f>ROUND(119187*(1-$E$42),2)</f>
        <v>119187</v>
      </c>
      <c r="I10" s="371">
        <f>ROUND(155799*(1-$E$42),2)</f>
        <v>155799</v>
      </c>
      <c r="J10" s="371">
        <f>ROUND(171380*(1-$E$42),2)</f>
        <v>171380</v>
      </c>
      <c r="K10" s="371">
        <f>ROUND(186959*(1-$E$42),2)</f>
        <v>186959</v>
      </c>
      <c r="L10" s="371">
        <f>ROUND(202539*(1-$E$42),2)</f>
        <v>202539</v>
      </c>
      <c r="M10" s="371">
        <f>ROUND(218119*(1-$E$42),2)</f>
        <v>218119</v>
      </c>
      <c r="N10" s="371">
        <f>ROUND(233700*(1-$E$42),2)</f>
        <v>233700</v>
      </c>
      <c r="O10" s="371">
        <f>ROUND(249279*(1-$E$42),2)</f>
        <v>249279</v>
      </c>
      <c r="P10" s="371">
        <f>ROUND(264859*(1-$E$42),2)</f>
        <v>264859</v>
      </c>
      <c r="Q10" s="371">
        <f>ROUND(280439*(1-$E$42),2)</f>
        <v>280439</v>
      </c>
      <c r="R10" s="624"/>
    </row>
    <row r="11" spans="1:19" ht="98.1" customHeight="1">
      <c r="A11" s="315"/>
      <c r="B11" s="570" t="s">
        <v>502</v>
      </c>
      <c r="C11" s="310" t="s">
        <v>1</v>
      </c>
      <c r="D11" s="310">
        <v>2.0299999999999998</v>
      </c>
      <c r="E11" s="372" t="s">
        <v>100</v>
      </c>
      <c r="F11" s="372" t="s">
        <v>100</v>
      </c>
      <c r="G11" s="372">
        <f>ROUND(57840*(1-$E$42),2)</f>
        <v>57840</v>
      </c>
      <c r="H11" s="372">
        <f>ROUND(65072*(1-$E$42),2)</f>
        <v>65072</v>
      </c>
      <c r="I11" s="372">
        <f>ROUND(85052*(1-$E$42),2)</f>
        <v>85052</v>
      </c>
      <c r="J11" s="372">
        <f>ROUND(93560*(1-$E$42),2)</f>
        <v>93560</v>
      </c>
      <c r="K11" s="372">
        <f>ROUND(102072*(1-$E$42),2)</f>
        <v>102072</v>
      </c>
      <c r="L11" s="372">
        <f>ROUND(110568*(1-$E$42),2)</f>
        <v>110568</v>
      </c>
      <c r="M11" s="372">
        <f>ROUND(119076*(1-$E$42),2)</f>
        <v>119076</v>
      </c>
      <c r="N11" s="372">
        <f>ROUND(127576*(1-$E$42),2)</f>
        <v>127576</v>
      </c>
      <c r="O11" s="372">
        <f>ROUND(136084*(1-$E$42),2)</f>
        <v>136084</v>
      </c>
      <c r="P11" s="372">
        <f>ROUND(144592*(1-$E$42),2)</f>
        <v>144592</v>
      </c>
      <c r="Q11" s="372">
        <f>ROUND(153096*(1-$E$42),2)</f>
        <v>153096</v>
      </c>
      <c r="R11" s="624"/>
    </row>
    <row r="12" spans="1:19" ht="33" customHeight="1">
      <c r="A12" s="708" t="s">
        <v>650</v>
      </c>
      <c r="R12" s="622"/>
    </row>
    <row r="13" spans="1:19" ht="24.95" customHeight="1">
      <c r="A13" s="1228" t="s">
        <v>200</v>
      </c>
      <c r="B13" s="1229" t="s">
        <v>105</v>
      </c>
      <c r="C13" s="1229" t="s">
        <v>106</v>
      </c>
      <c r="D13" s="1229" t="s">
        <v>190</v>
      </c>
      <c r="E13" s="1226" t="s">
        <v>191</v>
      </c>
      <c r="F13" s="1226"/>
      <c r="H13" s="1403" t="s">
        <v>101</v>
      </c>
      <c r="I13" s="1397"/>
      <c r="J13" s="1397"/>
      <c r="K13" s="1397"/>
      <c r="L13" s="1397"/>
      <c r="M13" s="1397"/>
      <c r="N13" s="1397"/>
      <c r="O13" s="1397"/>
      <c r="P13" s="1397"/>
      <c r="Q13" s="1398"/>
      <c r="R13" s="624"/>
    </row>
    <row r="14" spans="1:19" ht="24.95" customHeight="1">
      <c r="A14" s="1228"/>
      <c r="B14" s="1231"/>
      <c r="C14" s="1231"/>
      <c r="D14" s="1231"/>
      <c r="E14" s="367">
        <v>3.5</v>
      </c>
      <c r="F14" s="367">
        <v>4.5</v>
      </c>
      <c r="H14" s="1301" t="s">
        <v>635</v>
      </c>
      <c r="I14" s="1302"/>
      <c r="J14" s="1302"/>
      <c r="K14" s="1302"/>
      <c r="L14" s="1302"/>
      <c r="M14" s="1302"/>
      <c r="N14" s="1302"/>
      <c r="O14" s="1302"/>
      <c r="P14" s="1302"/>
      <c r="Q14" s="1303"/>
      <c r="R14" s="624"/>
    </row>
    <row r="15" spans="1:19" ht="33" customHeight="1">
      <c r="A15" s="1346"/>
      <c r="B15" s="373" t="s">
        <v>107</v>
      </c>
      <c r="C15" s="1393" t="s">
        <v>196</v>
      </c>
      <c r="D15" s="374">
        <v>2</v>
      </c>
      <c r="E15" s="375">
        <f>ROUND(R15*(1-$E$42),2)</f>
        <v>65118</v>
      </c>
      <c r="F15" s="375">
        <f t="shared" ref="F15:F17" si="0">ROUND(S15*(1-$E$42),2)</f>
        <v>83723</v>
      </c>
      <c r="H15" s="1304"/>
      <c r="I15" s="1305"/>
      <c r="J15" s="1305"/>
      <c r="K15" s="1305"/>
      <c r="L15" s="1305"/>
      <c r="M15" s="1305"/>
      <c r="N15" s="1305"/>
      <c r="O15" s="1305"/>
      <c r="P15" s="1305"/>
      <c r="Q15" s="1306"/>
      <c r="R15" s="622">
        <v>65118</v>
      </c>
      <c r="S15" s="622">
        <v>83723</v>
      </c>
    </row>
    <row r="16" spans="1:19" ht="33" customHeight="1">
      <c r="A16" s="1346"/>
      <c r="B16" s="1404" t="s">
        <v>108</v>
      </c>
      <c r="C16" s="1394"/>
      <c r="D16" s="376">
        <v>2</v>
      </c>
      <c r="E16" s="377">
        <f t="shared" ref="E16:E17" si="1">ROUND(R16*(1-$E$42),2)</f>
        <v>74421</v>
      </c>
      <c r="F16" s="377">
        <f t="shared" si="0"/>
        <v>95684</v>
      </c>
      <c r="H16" s="1304"/>
      <c r="I16" s="1305"/>
      <c r="J16" s="1305"/>
      <c r="K16" s="1305"/>
      <c r="L16" s="1305"/>
      <c r="M16" s="1305"/>
      <c r="N16" s="1305"/>
      <c r="O16" s="1305"/>
      <c r="P16" s="1305"/>
      <c r="Q16" s="1306"/>
      <c r="R16" s="622">
        <v>74421</v>
      </c>
      <c r="S16" s="622">
        <v>95684</v>
      </c>
    </row>
    <row r="17" spans="1:20" ht="33" customHeight="1">
      <c r="A17" s="1346"/>
      <c r="B17" s="1405"/>
      <c r="C17" s="1395"/>
      <c r="D17" s="378">
        <v>2.4</v>
      </c>
      <c r="E17" s="379">
        <f t="shared" si="1"/>
        <v>89305</v>
      </c>
      <c r="F17" s="379">
        <f t="shared" si="0"/>
        <v>115021</v>
      </c>
      <c r="H17" s="1304"/>
      <c r="I17" s="1305"/>
      <c r="J17" s="1305"/>
      <c r="K17" s="1305"/>
      <c r="L17" s="1305"/>
      <c r="M17" s="1305"/>
      <c r="N17" s="1305"/>
      <c r="O17" s="1305"/>
      <c r="P17" s="1305"/>
      <c r="Q17" s="1306"/>
      <c r="R17" s="622">
        <v>89305</v>
      </c>
      <c r="S17" s="622">
        <v>115021</v>
      </c>
    </row>
    <row r="18" spans="1:20" ht="19.5" customHeight="1">
      <c r="A18" s="389"/>
      <c r="B18" s="571"/>
      <c r="C18" s="569"/>
      <c r="D18" s="571"/>
      <c r="E18" s="572"/>
      <c r="F18" s="572"/>
      <c r="H18" s="1307"/>
      <c r="I18" s="1308"/>
      <c r="J18" s="1308"/>
      <c r="K18" s="1308"/>
      <c r="L18" s="1308"/>
      <c r="M18" s="1308"/>
      <c r="N18" s="1308"/>
      <c r="O18" s="1308"/>
      <c r="P18" s="1308"/>
      <c r="Q18" s="1309"/>
      <c r="R18" s="624"/>
      <c r="S18" s="622"/>
    </row>
    <row r="19" spans="1:20" ht="20.100000000000001" customHeight="1">
      <c r="A19" s="221"/>
      <c r="B19" s="221"/>
      <c r="C19" s="221"/>
      <c r="D19" s="221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221"/>
      <c r="P19" s="221"/>
      <c r="Q19" s="221"/>
      <c r="R19" s="625"/>
      <c r="S19" s="622"/>
    </row>
    <row r="20" spans="1:20" ht="50.1" customHeight="1">
      <c r="A20" s="1396" t="s">
        <v>102</v>
      </c>
      <c r="B20" s="1397"/>
      <c r="C20" s="1397"/>
      <c r="D20" s="1397"/>
      <c r="E20" s="1397"/>
      <c r="F20" s="1397"/>
      <c r="G20" s="1397"/>
      <c r="H20" s="1397"/>
      <c r="I20" s="1397"/>
      <c r="J20" s="1397"/>
      <c r="K20" s="1398"/>
      <c r="L20" s="1324" t="s">
        <v>284</v>
      </c>
      <c r="M20" s="1389"/>
      <c r="N20" s="1325"/>
      <c r="O20" s="1324" t="s">
        <v>285</v>
      </c>
      <c r="P20" s="1389"/>
      <c r="Q20" s="1325"/>
      <c r="R20" s="622"/>
      <c r="S20" s="622"/>
    </row>
    <row r="21" spans="1:20" ht="84.95" customHeight="1">
      <c r="A21" s="1400" t="s">
        <v>435</v>
      </c>
      <c r="B21" s="1401"/>
      <c r="C21" s="1401"/>
      <c r="D21" s="1401" t="s">
        <v>651</v>
      </c>
      <c r="E21" s="1401"/>
      <c r="F21" s="1401"/>
      <c r="G21" s="1401"/>
      <c r="H21" s="1401"/>
      <c r="I21" s="1401"/>
      <c r="J21" s="1401"/>
      <c r="K21" s="1402"/>
      <c r="L21" s="1385">
        <f>ROUND(R21*(1-$E$42),2)</f>
        <v>31432</v>
      </c>
      <c r="M21" s="1386"/>
      <c r="N21" s="1387"/>
      <c r="O21" s="1385">
        <f>ROUND(S21*(1-$E$42),2)</f>
        <v>38056</v>
      </c>
      <c r="P21" s="1386"/>
      <c r="Q21" s="1387"/>
      <c r="R21" s="637">
        <v>31432</v>
      </c>
      <c r="S21" s="637">
        <v>38056</v>
      </c>
      <c r="T21" s="36"/>
    </row>
    <row r="22" spans="1:20" ht="27.75" customHeight="1">
      <c r="A22" s="1388" t="s">
        <v>286</v>
      </c>
      <c r="B22" s="1388"/>
      <c r="C22" s="1388"/>
      <c r="D22" s="1388"/>
      <c r="E22" s="1388"/>
      <c r="F22" s="1388"/>
      <c r="G22" s="1388"/>
      <c r="H22" s="1388"/>
      <c r="I22" s="1388"/>
      <c r="J22" s="1388"/>
      <c r="K22" s="1388"/>
      <c r="L22" s="1388"/>
      <c r="M22" s="1388"/>
      <c r="N22" s="1388"/>
      <c r="O22" s="1388"/>
      <c r="P22" s="1388"/>
      <c r="Q22" s="1388"/>
      <c r="R22" s="623"/>
      <c r="S22" s="623"/>
    </row>
    <row r="23" spans="1:20" ht="43.5" customHeight="1">
      <c r="A23" s="1380" t="s">
        <v>553</v>
      </c>
      <c r="B23" s="1381"/>
      <c r="C23" s="1381" t="s">
        <v>554</v>
      </c>
      <c r="D23" s="1381"/>
      <c r="E23" s="1381"/>
      <c r="F23" s="1381" t="s">
        <v>555</v>
      </c>
      <c r="G23" s="1381"/>
      <c r="H23" s="1381"/>
      <c r="I23" s="630"/>
      <c r="J23" s="630"/>
      <c r="K23" s="631"/>
      <c r="L23" s="1390">
        <f>ROUND(R23*(1-$E$42),2)</f>
        <v>14904</v>
      </c>
      <c r="M23" s="1391"/>
      <c r="N23" s="1392"/>
      <c r="O23" s="1390">
        <f>ROUND(S23*(1-$E$42),2)</f>
        <v>18216</v>
      </c>
      <c r="P23" s="1391"/>
      <c r="Q23" s="1392"/>
      <c r="R23" s="623">
        <v>14904</v>
      </c>
      <c r="S23" s="622">
        <v>18216</v>
      </c>
    </row>
    <row r="24" spans="1:20" ht="20.100000000000001" customHeight="1">
      <c r="A24" s="627"/>
      <c r="B24" s="627"/>
      <c r="C24" s="627"/>
      <c r="D24" s="627"/>
      <c r="E24" s="627"/>
      <c r="F24" s="627"/>
      <c r="G24" s="627"/>
      <c r="H24" s="627"/>
      <c r="I24" s="627"/>
      <c r="J24" s="627"/>
      <c r="K24" s="627"/>
      <c r="L24" s="629"/>
      <c r="M24" s="629"/>
      <c r="N24" s="629"/>
      <c r="O24" s="629"/>
      <c r="P24" s="629"/>
      <c r="Q24" s="629"/>
      <c r="R24" s="623"/>
      <c r="S24" s="623"/>
    </row>
    <row r="25" spans="1:20" ht="45" customHeight="1">
      <c r="A25" s="1406" t="s">
        <v>557</v>
      </c>
      <c r="B25" s="1407"/>
      <c r="C25" s="1407"/>
      <c r="D25" s="1407"/>
      <c r="E25" s="1407"/>
      <c r="F25" s="1407"/>
      <c r="G25" s="1407"/>
      <c r="H25" s="1407"/>
      <c r="I25" s="1408"/>
      <c r="J25" s="611" t="s">
        <v>99</v>
      </c>
      <c r="K25" s="449"/>
      <c r="L25" s="1226" t="s">
        <v>556</v>
      </c>
      <c r="M25" s="1226"/>
      <c r="N25" s="1226"/>
      <c r="O25" s="1226"/>
      <c r="P25" s="1226"/>
      <c r="Q25" s="611" t="s">
        <v>99</v>
      </c>
      <c r="R25" s="622"/>
      <c r="S25" s="622"/>
    </row>
    <row r="26" spans="1:20" ht="24.95" customHeight="1">
      <c r="A26" s="1429" t="s">
        <v>61</v>
      </c>
      <c r="B26" s="1433"/>
      <c r="C26" s="1420" t="s">
        <v>147</v>
      </c>
      <c r="D26" s="1421"/>
      <c r="E26" s="1411" t="s">
        <v>293</v>
      </c>
      <c r="F26" s="1412"/>
      <c r="G26" s="1413"/>
      <c r="H26" s="1411" t="s">
        <v>302</v>
      </c>
      <c r="I26" s="1413"/>
      <c r="J26" s="1436">
        <f>ROUND((Locinox!I31+Locinox!I35+Locinox!I36)*(1-$E$42),2)</f>
        <v>9905</v>
      </c>
      <c r="L26" s="1227" t="s">
        <v>56</v>
      </c>
      <c r="M26" s="1227"/>
      <c r="N26" s="1227"/>
      <c r="O26" s="1227"/>
      <c r="P26" s="1227"/>
      <c r="Q26" s="1430">
        <f>ROUND(S26*(1-$E$42),2)</f>
        <v>5995</v>
      </c>
      <c r="R26" s="622"/>
      <c r="S26" s="622">
        <v>5995</v>
      </c>
    </row>
    <row r="27" spans="1:20" ht="24.95" customHeight="1">
      <c r="A27" s="1429"/>
      <c r="B27" s="1434"/>
      <c r="C27" s="1422"/>
      <c r="D27" s="1423"/>
      <c r="E27" s="1414" t="s">
        <v>270</v>
      </c>
      <c r="F27" s="1415"/>
      <c r="G27" s="1416"/>
      <c r="H27" s="1414" t="s">
        <v>148</v>
      </c>
      <c r="I27" s="1416"/>
      <c r="J27" s="1437"/>
      <c r="K27" s="392"/>
      <c r="L27" s="1227"/>
      <c r="M27" s="1227"/>
      <c r="N27" s="1227"/>
      <c r="O27" s="1227"/>
      <c r="P27" s="1227"/>
      <c r="Q27" s="1431"/>
      <c r="R27" s="622"/>
      <c r="S27" s="622"/>
    </row>
    <row r="28" spans="1:20" ht="24.95" customHeight="1">
      <c r="A28" s="1429"/>
      <c r="B28" s="1434"/>
      <c r="C28" s="1422"/>
      <c r="D28" s="1423"/>
      <c r="E28" s="1414" t="s">
        <v>272</v>
      </c>
      <c r="F28" s="1415"/>
      <c r="G28" s="1416"/>
      <c r="H28" s="1414" t="s">
        <v>273</v>
      </c>
      <c r="I28" s="1416"/>
      <c r="J28" s="1437"/>
      <c r="K28" s="392"/>
      <c r="L28" s="1432" t="s">
        <v>205</v>
      </c>
      <c r="M28" s="1432"/>
      <c r="N28" s="1432"/>
      <c r="O28" s="1432"/>
      <c r="P28" s="1432"/>
      <c r="Q28" s="621">
        <f>ROUND(S28*(1-$E$42),2)</f>
        <v>1210</v>
      </c>
      <c r="R28" s="622"/>
      <c r="S28" s="622">
        <v>1210</v>
      </c>
    </row>
    <row r="29" spans="1:20" ht="24.95" customHeight="1">
      <c r="A29" s="1429"/>
      <c r="B29" s="1434"/>
      <c r="C29" s="1422"/>
      <c r="D29" s="1423"/>
      <c r="E29" s="1414" t="s">
        <v>274</v>
      </c>
      <c r="F29" s="1415"/>
      <c r="G29" s="1416"/>
      <c r="H29" s="1414" t="s">
        <v>275</v>
      </c>
      <c r="I29" s="1416"/>
      <c r="J29" s="1437"/>
      <c r="K29" s="620"/>
      <c r="L29" s="1432" t="s">
        <v>296</v>
      </c>
      <c r="M29" s="1432"/>
      <c r="N29" s="1432"/>
      <c r="O29" s="1432"/>
      <c r="P29" s="1432"/>
      <c r="Q29" s="621">
        <f>ROUND(S29*(1-$E$42),2)</f>
        <v>6610</v>
      </c>
      <c r="R29" s="622"/>
      <c r="S29" s="622">
        <v>6610</v>
      </c>
    </row>
    <row r="30" spans="1:20" ht="24.95" customHeight="1">
      <c r="A30" s="1429"/>
      <c r="B30" s="1434"/>
      <c r="C30" s="1422"/>
      <c r="D30" s="1423"/>
      <c r="E30" s="1414" t="s">
        <v>299</v>
      </c>
      <c r="F30" s="1415"/>
      <c r="G30" s="1416"/>
      <c r="H30" s="1414" t="s">
        <v>298</v>
      </c>
      <c r="I30" s="1416"/>
      <c r="J30" s="1437"/>
      <c r="K30" s="620"/>
      <c r="L30" s="1432" t="s">
        <v>206</v>
      </c>
      <c r="M30" s="1432"/>
      <c r="N30" s="1432"/>
      <c r="O30" s="1432"/>
      <c r="P30" s="1432"/>
      <c r="Q30" s="621">
        <f>ROUND(S30*(1-$E$42),2)</f>
        <v>3775</v>
      </c>
      <c r="R30" s="622"/>
      <c r="S30" s="622">
        <v>3775</v>
      </c>
    </row>
    <row r="31" spans="1:20" s="36" customFormat="1" ht="24.95" customHeight="1">
      <c r="A31" s="1429"/>
      <c r="B31" s="1435"/>
      <c r="C31" s="1424"/>
      <c r="D31" s="1425"/>
      <c r="E31" s="1417" t="s">
        <v>300</v>
      </c>
      <c r="F31" s="1418"/>
      <c r="G31" s="1419"/>
      <c r="H31" s="1417" t="s">
        <v>298</v>
      </c>
      <c r="I31" s="1419"/>
      <c r="J31" s="1438"/>
      <c r="K31" s="617"/>
      <c r="L31" s="617"/>
      <c r="M31" s="617"/>
      <c r="N31" s="617"/>
      <c r="O31" s="618"/>
      <c r="P31" s="618"/>
      <c r="Q31" s="618"/>
      <c r="R31" s="626"/>
    </row>
    <row r="32" spans="1:20" s="36" customFormat="1" ht="24.95" customHeight="1">
      <c r="A32" s="673"/>
      <c r="B32" s="673"/>
      <c r="C32" s="674"/>
      <c r="D32" s="674"/>
      <c r="E32" s="675"/>
      <c r="F32" s="675"/>
      <c r="G32" s="675"/>
      <c r="H32" s="675"/>
      <c r="I32" s="675"/>
      <c r="J32" s="676"/>
      <c r="K32" s="617"/>
      <c r="L32" s="617"/>
      <c r="M32" s="617"/>
      <c r="N32" s="617"/>
      <c r="O32" s="618"/>
      <c r="P32" s="618"/>
      <c r="Q32" s="618"/>
      <c r="R32" s="626"/>
    </row>
    <row r="33" spans="1:18" s="36" customFormat="1" ht="24.95" customHeight="1">
      <c r="A33" s="1351" t="s">
        <v>628</v>
      </c>
      <c r="B33" s="1351"/>
      <c r="C33" s="1351"/>
      <c r="D33" s="1351"/>
      <c r="E33" s="1351"/>
      <c r="F33" s="1351"/>
      <c r="G33" s="1351"/>
      <c r="H33" s="1351"/>
      <c r="I33" s="1351"/>
      <c r="J33" s="678" t="s">
        <v>99</v>
      </c>
      <c r="K33" s="617"/>
      <c r="L33" s="617"/>
      <c r="M33" s="617"/>
      <c r="N33" s="617"/>
      <c r="O33" s="618"/>
      <c r="P33" s="618"/>
      <c r="Q33" s="618"/>
      <c r="R33" s="626"/>
    </row>
    <row r="34" spans="1:18" s="36" customFormat="1" ht="98.1" customHeight="1">
      <c r="A34" s="677" t="s">
        <v>629</v>
      </c>
      <c r="B34" s="677"/>
      <c r="C34" s="1426" t="s">
        <v>631</v>
      </c>
      <c r="D34" s="1426"/>
      <c r="E34" s="1426"/>
      <c r="F34" s="1426"/>
      <c r="G34" s="1426"/>
      <c r="H34" s="1427" t="s">
        <v>633</v>
      </c>
      <c r="I34" s="1427"/>
      <c r="J34" s="621">
        <f>ROUND(R34*(1-$E$42),2)</f>
        <v>1400</v>
      </c>
      <c r="K34" s="617"/>
      <c r="L34" s="617"/>
      <c r="M34" s="617"/>
      <c r="N34" s="617"/>
      <c r="O34" s="618"/>
      <c r="P34" s="618"/>
      <c r="Q34" s="618"/>
      <c r="R34" s="626">
        <v>1400</v>
      </c>
    </row>
    <row r="35" spans="1:18" s="36" customFormat="1" ht="98.1" customHeight="1">
      <c r="A35" s="677" t="s">
        <v>630</v>
      </c>
      <c r="B35" s="677"/>
      <c r="C35" s="1426" t="s">
        <v>632</v>
      </c>
      <c r="D35" s="1426"/>
      <c r="E35" s="1426"/>
      <c r="F35" s="1426"/>
      <c r="G35" s="1426"/>
      <c r="H35" s="1427" t="s">
        <v>634</v>
      </c>
      <c r="I35" s="1427"/>
      <c r="J35" s="621">
        <f>ROUND(R35*(1-$E$42),2)</f>
        <v>495</v>
      </c>
      <c r="K35" s="617"/>
      <c r="L35" s="617"/>
      <c r="M35" s="617"/>
      <c r="N35" s="617"/>
      <c r="O35" s="618"/>
      <c r="P35" s="618"/>
      <c r="Q35" s="618"/>
      <c r="R35" s="626">
        <v>495</v>
      </c>
    </row>
    <row r="36" spans="1:18" s="36" customFormat="1" ht="20.100000000000001" customHeight="1">
      <c r="A36" s="435"/>
      <c r="B36" s="435"/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49"/>
      <c r="N36" s="449"/>
      <c r="P36" s="618"/>
      <c r="Q36" s="618"/>
      <c r="R36" s="626"/>
    </row>
    <row r="37" spans="1:18" ht="48.75" customHeight="1">
      <c r="A37" s="1305" t="s">
        <v>112</v>
      </c>
      <c r="B37" s="1305"/>
      <c r="C37" s="1305"/>
      <c r="D37" s="1305"/>
      <c r="E37" s="1305"/>
      <c r="F37" s="1305"/>
      <c r="G37" s="1305"/>
      <c r="H37" s="1428" t="s">
        <v>393</v>
      </c>
      <c r="I37" s="1428"/>
      <c r="J37" s="1428"/>
      <c r="K37" s="1428"/>
      <c r="L37" s="1428"/>
      <c r="M37" s="1428"/>
      <c r="N37" s="1428"/>
      <c r="O37" s="1428"/>
      <c r="P37" s="1428"/>
      <c r="Q37" s="1428"/>
    </row>
    <row r="38" spans="1:18">
      <c r="A38" s="11" t="s">
        <v>113</v>
      </c>
      <c r="H38" s="1428"/>
      <c r="I38" s="1428"/>
      <c r="J38" s="1428"/>
      <c r="K38" s="1428"/>
      <c r="L38" s="1428"/>
      <c r="M38" s="1428"/>
      <c r="N38" s="1428"/>
      <c r="O38" s="1428"/>
      <c r="P38" s="1428"/>
      <c r="Q38" s="1428"/>
    </row>
    <row r="39" spans="1:18">
      <c r="A39" s="11" t="s">
        <v>114</v>
      </c>
      <c r="H39" s="381"/>
    </row>
    <row r="40" spans="1:18" ht="16.5" customHeight="1"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33"/>
      <c r="M40" s="33"/>
      <c r="N40" s="33"/>
      <c r="O40" s="33"/>
      <c r="P40" s="36"/>
      <c r="Q40" s="33"/>
      <c r="R40" s="64"/>
    </row>
    <row r="41" spans="1:18" ht="27" customHeight="1">
      <c r="A41" s="62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64"/>
      <c r="M41" s="64"/>
      <c r="N41" s="64"/>
      <c r="O41" s="64"/>
      <c r="P41" s="63"/>
      <c r="Q41" s="64"/>
      <c r="R41" s="64"/>
    </row>
    <row r="42" spans="1:18" ht="67.5" hidden="1" customHeight="1">
      <c r="A42" s="1409" t="s">
        <v>115</v>
      </c>
      <c r="B42" s="1409"/>
      <c r="C42" s="1409"/>
      <c r="D42" s="1409"/>
      <c r="E42" s="1410">
        <v>0</v>
      </c>
      <c r="F42" s="1410"/>
      <c r="G42" s="64"/>
      <c r="H42" s="64"/>
      <c r="I42" s="64"/>
      <c r="J42" s="64"/>
      <c r="K42" s="64"/>
      <c r="L42" s="64"/>
      <c r="M42" s="64"/>
      <c r="N42" s="64"/>
      <c r="O42" s="80"/>
      <c r="P42" s="81"/>
      <c r="Q42" s="81"/>
      <c r="R42" s="81"/>
    </row>
    <row r="43" spans="1:18" ht="14.25" customHeight="1">
      <c r="A43" s="59"/>
      <c r="B43" s="59"/>
      <c r="C43" s="59"/>
      <c r="D43" s="59"/>
      <c r="E43" s="59"/>
      <c r="F43" s="59"/>
      <c r="G43" s="64"/>
      <c r="H43" s="64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 ht="18" customHeight="1">
      <c r="G44" s="33"/>
      <c r="H44" s="33"/>
    </row>
  </sheetData>
  <dataConsolidate/>
  <mergeCells count="69">
    <mergeCell ref="H37:Q38"/>
    <mergeCell ref="H29:I29"/>
    <mergeCell ref="H30:I30"/>
    <mergeCell ref="H26:I26"/>
    <mergeCell ref="A26:A31"/>
    <mergeCell ref="Q26:Q27"/>
    <mergeCell ref="L30:P30"/>
    <mergeCell ref="B26:B31"/>
    <mergeCell ref="H31:I31"/>
    <mergeCell ref="L28:P28"/>
    <mergeCell ref="L29:P29"/>
    <mergeCell ref="J26:J31"/>
    <mergeCell ref="H27:I27"/>
    <mergeCell ref="H28:I28"/>
    <mergeCell ref="L26:P27"/>
    <mergeCell ref="H34:I34"/>
    <mergeCell ref="A42:D42"/>
    <mergeCell ref="E42:F42"/>
    <mergeCell ref="A37:G37"/>
    <mergeCell ref="E26:G26"/>
    <mergeCell ref="E27:G27"/>
    <mergeCell ref="E28:G28"/>
    <mergeCell ref="E29:G29"/>
    <mergeCell ref="E30:G30"/>
    <mergeCell ref="E31:G31"/>
    <mergeCell ref="C26:D31"/>
    <mergeCell ref="E34:G34"/>
    <mergeCell ref="E35:G35"/>
    <mergeCell ref="C35:D35"/>
    <mergeCell ref="C34:D34"/>
    <mergeCell ref="A33:I33"/>
    <mergeCell ref="H35:I35"/>
    <mergeCell ref="B16:B17"/>
    <mergeCell ref="C23:E23"/>
    <mergeCell ref="A25:I25"/>
    <mergeCell ref="F23:H23"/>
    <mergeCell ref="L25:P25"/>
    <mergeCell ref="B2:M2"/>
    <mergeCell ref="A21:C21"/>
    <mergeCell ref="D21:K21"/>
    <mergeCell ref="A8:A10"/>
    <mergeCell ref="C13:C14"/>
    <mergeCell ref="D13:D14"/>
    <mergeCell ref="A13:A14"/>
    <mergeCell ref="B8:B10"/>
    <mergeCell ref="C8:C10"/>
    <mergeCell ref="H13:Q13"/>
    <mergeCell ref="B13:B14"/>
    <mergeCell ref="A3:A4"/>
    <mergeCell ref="B3:B4"/>
    <mergeCell ref="C3:C4"/>
    <mergeCell ref="E3:Q3"/>
    <mergeCell ref="D3:D4"/>
    <mergeCell ref="E13:F13"/>
    <mergeCell ref="A5:A7"/>
    <mergeCell ref="B5:B7"/>
    <mergeCell ref="A23:B23"/>
    <mergeCell ref="H14:Q18"/>
    <mergeCell ref="C5:C7"/>
    <mergeCell ref="O21:Q21"/>
    <mergeCell ref="L21:N21"/>
    <mergeCell ref="A22:Q22"/>
    <mergeCell ref="O20:Q20"/>
    <mergeCell ref="L23:N23"/>
    <mergeCell ref="O23:Q23"/>
    <mergeCell ref="A15:A17"/>
    <mergeCell ref="C15:C17"/>
    <mergeCell ref="A20:K20"/>
    <mergeCell ref="L20:N20"/>
  </mergeCells>
  <phoneticPr fontId="24" type="noConversion"/>
  <printOptions horizontalCentered="1"/>
  <pageMargins left="0" right="0" top="0" bottom="0" header="0" footer="0"/>
  <pageSetup paperSize="9" scale="40" orientation="landscape" r:id="rId1"/>
  <headerFooter scaleWithDoc="0">
    <oddFooter>&amp;R&amp;"Arial Cyr,полужирный"&amp;8стр. &amp;P из &amp;N &amp;"Arial Cyr,обычный"&amp;A</oddFooter>
  </headerFooter>
  <drawing r:id="rId2"/>
  <legacyDrawing r:id="rId3"/>
  <oleObjects>
    <oleObject progId="CorelDRAW.Graphic.13" shapeId="148481" r:id="rId4"/>
    <oleObject progId="CorelDRAW.Graphic.13" shapeId="148482" r:id="rId5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6">
    <tabColor rgb="FFC00000"/>
    <pageSetUpPr fitToPage="1"/>
  </sheetPr>
  <dimension ref="A1:R79"/>
  <sheetViews>
    <sheetView showGridLines="0" topLeftCell="A43" zoomScale="55" zoomScaleNormal="55" zoomScaleSheetLayoutView="55" zoomScalePageLayoutView="55" workbookViewId="0">
      <selection activeCell="A61" sqref="A61"/>
    </sheetView>
  </sheetViews>
  <sheetFormatPr defaultRowHeight="12.75"/>
  <cols>
    <col min="1" max="1" width="24.7109375" style="1" customWidth="1"/>
    <col min="2" max="2" width="27.85546875" style="1" customWidth="1"/>
    <col min="3" max="3" width="26.85546875" style="1" customWidth="1"/>
    <col min="4" max="4" width="25.7109375" style="1" customWidth="1"/>
    <col min="5" max="6" width="15.28515625" style="1" customWidth="1"/>
    <col min="7" max="7" width="23" style="6" customWidth="1"/>
    <col min="8" max="8" width="19.140625" style="1" customWidth="1"/>
    <col min="9" max="16" width="8.85546875" style="1" customWidth="1"/>
    <col min="17" max="17" width="11.7109375" style="1" hidden="1" customWidth="1"/>
    <col min="18" max="16384" width="9.140625" style="1"/>
  </cols>
  <sheetData>
    <row r="1" spans="1:18" ht="75.75" customHeight="1"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33" customHeight="1">
      <c r="A2" s="11"/>
      <c r="B2" s="11"/>
      <c r="C2" s="11"/>
      <c r="D2" s="1105" t="s">
        <v>384</v>
      </c>
      <c r="E2" s="1105"/>
      <c r="F2" s="1105"/>
      <c r="G2" s="1105"/>
      <c r="H2" s="1105"/>
      <c r="K2" s="123"/>
      <c r="L2" s="123"/>
      <c r="M2" s="123"/>
      <c r="N2" s="326"/>
      <c r="O2" s="1443"/>
      <c r="P2" s="1443"/>
      <c r="Q2" s="11"/>
    </row>
    <row r="3" spans="1:18" ht="81" customHeight="1">
      <c r="A3" s="1351" t="s">
        <v>200</v>
      </c>
      <c r="B3" s="1351" t="s">
        <v>189</v>
      </c>
      <c r="C3" s="1351" t="s">
        <v>260</v>
      </c>
      <c r="D3" s="1351" t="s">
        <v>21</v>
      </c>
      <c r="E3" s="1351"/>
      <c r="F3" s="1351"/>
      <c r="G3" s="1351"/>
      <c r="H3" s="1351"/>
      <c r="I3" s="1351" t="s">
        <v>77</v>
      </c>
      <c r="J3" s="1351"/>
      <c r="K3" s="1351"/>
      <c r="L3" s="1351"/>
      <c r="M3" s="1351"/>
      <c r="N3" s="1351"/>
      <c r="O3" s="1351"/>
      <c r="P3" s="1351"/>
      <c r="Q3" s="11"/>
    </row>
    <row r="4" spans="1:18" ht="20.25" customHeight="1">
      <c r="A4" s="1351"/>
      <c r="B4" s="1351"/>
      <c r="C4" s="1351"/>
      <c r="D4" s="1351"/>
      <c r="E4" s="1351"/>
      <c r="F4" s="1351"/>
      <c r="G4" s="1351"/>
      <c r="H4" s="1351"/>
      <c r="I4" s="1461" t="s">
        <v>215</v>
      </c>
      <c r="J4" s="1461"/>
      <c r="K4" s="1461"/>
      <c r="L4" s="1461"/>
      <c r="M4" s="1461"/>
      <c r="N4" s="1461"/>
      <c r="O4" s="1461"/>
      <c r="P4" s="1461"/>
      <c r="Q4" s="11"/>
    </row>
    <row r="5" spans="1:18" ht="21.6" customHeight="1">
      <c r="A5" s="1490"/>
      <c r="B5" s="1494" t="s">
        <v>20</v>
      </c>
      <c r="C5" s="1491">
        <v>2</v>
      </c>
      <c r="D5" s="1487" t="s">
        <v>378</v>
      </c>
      <c r="E5" s="1487"/>
      <c r="F5" s="1487"/>
      <c r="G5" s="1487"/>
      <c r="H5" s="1487"/>
      <c r="I5" s="1496" t="s">
        <v>166</v>
      </c>
      <c r="J5" s="1483"/>
      <c r="K5" s="1483"/>
      <c r="L5" s="1483"/>
      <c r="M5" s="1483" t="s">
        <v>172</v>
      </c>
      <c r="N5" s="1483"/>
      <c r="O5" s="1483"/>
      <c r="P5" s="1484"/>
      <c r="Q5" s="11"/>
    </row>
    <row r="6" spans="1:18" ht="21.6" customHeight="1">
      <c r="A6" s="1490"/>
      <c r="B6" s="1495"/>
      <c r="C6" s="1492"/>
      <c r="D6" s="1487"/>
      <c r="E6" s="1487"/>
      <c r="F6" s="1487"/>
      <c r="G6" s="1487"/>
      <c r="H6" s="1487"/>
      <c r="I6" s="1462" t="s">
        <v>160</v>
      </c>
      <c r="J6" s="1463"/>
      <c r="K6" s="1463"/>
      <c r="L6" s="1463"/>
      <c r="M6" s="1463"/>
      <c r="N6" s="1463"/>
      <c r="O6" s="1463"/>
      <c r="P6" s="1464"/>
      <c r="Q6" s="11"/>
    </row>
    <row r="7" spans="1:18" ht="21.6" customHeight="1">
      <c r="A7" s="1490"/>
      <c r="B7" s="1495"/>
      <c r="C7" s="1492"/>
      <c r="D7" s="1487"/>
      <c r="E7" s="1487"/>
      <c r="F7" s="1487"/>
      <c r="G7" s="1487"/>
      <c r="H7" s="1487"/>
      <c r="I7" s="1458">
        <v>2500</v>
      </c>
      <c r="J7" s="1459"/>
      <c r="K7" s="1460">
        <v>3000</v>
      </c>
      <c r="L7" s="1459"/>
      <c r="M7" s="1460">
        <v>2500</v>
      </c>
      <c r="N7" s="1459"/>
      <c r="O7" s="1460">
        <v>3000</v>
      </c>
      <c r="P7" s="1482"/>
      <c r="Q7" s="11"/>
    </row>
    <row r="8" spans="1:18" ht="65.099999999999994" customHeight="1">
      <c r="A8" s="1490"/>
      <c r="B8" s="1495"/>
      <c r="C8" s="1493"/>
      <c r="D8" s="1487"/>
      <c r="E8" s="1487"/>
      <c r="F8" s="1487"/>
      <c r="G8" s="1487"/>
      <c r="H8" s="1487"/>
      <c r="I8" s="1485">
        <f>(I23*2+I29+I41*2+I51*44)/2.5</f>
        <v>643.20000000000005</v>
      </c>
      <c r="J8" s="1486"/>
      <c r="K8" s="1497">
        <f>(I23*2+I31+I41*2+I51*44)/2.5</f>
        <v>699.6</v>
      </c>
      <c r="L8" s="1498"/>
      <c r="M8" s="1497">
        <f>(I25*2+I30+I42*2+I51*44)/2.5</f>
        <v>933.6</v>
      </c>
      <c r="N8" s="1486"/>
      <c r="O8" s="1497">
        <f>(I25*2+I32+I42*2+I51*44)/2.5</f>
        <v>1015.6</v>
      </c>
      <c r="P8" s="1506"/>
      <c r="Q8" s="11"/>
    </row>
    <row r="9" spans="1:18" ht="20.25" customHeight="1">
      <c r="A9" s="1469"/>
      <c r="B9" s="1470"/>
      <c r="C9" s="1470"/>
      <c r="D9" s="1470"/>
      <c r="E9" s="1470"/>
      <c r="F9" s="1470"/>
      <c r="G9" s="1470"/>
      <c r="H9" s="1471"/>
      <c r="I9" s="1479" t="s">
        <v>160</v>
      </c>
      <c r="J9" s="1480"/>
      <c r="K9" s="1480"/>
      <c r="L9" s="1480"/>
      <c r="M9" s="1480"/>
      <c r="N9" s="1480"/>
      <c r="O9" s="1480"/>
      <c r="P9" s="1481"/>
      <c r="Q9" s="11"/>
    </row>
    <row r="10" spans="1:18" ht="20.25">
      <c r="A10" s="1472"/>
      <c r="B10" s="1473"/>
      <c r="C10" s="1473"/>
      <c r="D10" s="1473"/>
      <c r="E10" s="1473"/>
      <c r="F10" s="1473"/>
      <c r="G10" s="1473"/>
      <c r="H10" s="1474"/>
      <c r="I10" s="1452">
        <v>2500</v>
      </c>
      <c r="J10" s="1453"/>
      <c r="K10" s="1453"/>
      <c r="L10" s="1454"/>
      <c r="M10" s="1504">
        <v>3000</v>
      </c>
      <c r="N10" s="1453"/>
      <c r="O10" s="1453"/>
      <c r="P10" s="1505"/>
      <c r="Q10" s="11"/>
    </row>
    <row r="11" spans="1:18" ht="65.099999999999994" customHeight="1">
      <c r="A11" s="1450"/>
      <c r="B11" s="1475" t="s">
        <v>19</v>
      </c>
      <c r="C11" s="136">
        <v>1.65</v>
      </c>
      <c r="D11" s="1444" t="s">
        <v>22</v>
      </c>
      <c r="E11" s="1445"/>
      <c r="F11" s="1445"/>
      <c r="G11" s="1445"/>
      <c r="H11" s="1446"/>
      <c r="I11" s="1468">
        <f>(I21*3+I30+I37*2+I43*2+I51*26)/2.5</f>
        <v>1921.2</v>
      </c>
      <c r="J11" s="1466"/>
      <c r="K11" s="1466"/>
      <c r="L11" s="1489"/>
      <c r="M11" s="1455">
        <f>(I21*3+I32+I37*2+I43*2+I51*26)/2.5</f>
        <v>2003.2</v>
      </c>
      <c r="N11" s="1466"/>
      <c r="O11" s="1466"/>
      <c r="P11" s="1467"/>
      <c r="Q11" s="11"/>
    </row>
    <row r="12" spans="1:18" ht="65.099999999999994" customHeight="1">
      <c r="A12" s="1451"/>
      <c r="B12" s="1451"/>
      <c r="C12" s="137">
        <v>2</v>
      </c>
      <c r="D12" s="1447"/>
      <c r="E12" s="1448"/>
      <c r="F12" s="1448"/>
      <c r="G12" s="1448"/>
      <c r="H12" s="1449"/>
      <c r="I12" s="1485">
        <f>(I22*3+I30+I37*2+I43*2+I51*26)/2.5</f>
        <v>2142</v>
      </c>
      <c r="J12" s="1499"/>
      <c r="K12" s="1499"/>
      <c r="L12" s="1501"/>
      <c r="M12" s="1497">
        <f>(I22*3+I32+I37*2+I43*2+I51*26)/2.5</f>
        <v>2224</v>
      </c>
      <c r="N12" s="1499"/>
      <c r="O12" s="1499"/>
      <c r="P12" s="1500"/>
      <c r="Q12" s="11"/>
      <c r="R12" s="118"/>
    </row>
    <row r="13" spans="1:18" ht="20.25">
      <c r="A13" s="1488"/>
      <c r="B13" s="1488"/>
      <c r="C13" s="1488"/>
      <c r="D13" s="1488"/>
      <c r="E13" s="1488"/>
      <c r="F13" s="1488"/>
      <c r="G13" s="1488"/>
      <c r="H13" s="1488"/>
      <c r="I13" s="1507" t="s">
        <v>233</v>
      </c>
      <c r="J13" s="1507"/>
      <c r="K13" s="1507"/>
      <c r="L13" s="1507"/>
      <c r="M13" s="1507"/>
      <c r="N13" s="1507"/>
      <c r="O13" s="1507"/>
      <c r="P13" s="1508"/>
      <c r="Q13" s="11"/>
    </row>
    <row r="14" spans="1:18" ht="20.25">
      <c r="A14" s="1488"/>
      <c r="B14" s="1488"/>
      <c r="C14" s="1488"/>
      <c r="D14" s="1488"/>
      <c r="E14" s="1488"/>
      <c r="F14" s="1488"/>
      <c r="G14" s="1488"/>
      <c r="H14" s="1488"/>
      <c r="I14" s="1476">
        <v>2500</v>
      </c>
      <c r="J14" s="1476"/>
      <c r="K14" s="1476"/>
      <c r="L14" s="1477"/>
      <c r="M14" s="1502">
        <v>3000</v>
      </c>
      <c r="N14" s="1476"/>
      <c r="O14" s="1476"/>
      <c r="P14" s="1503"/>
      <c r="Q14" s="11"/>
    </row>
    <row r="15" spans="1:18" ht="65.099999999999994" customHeight="1">
      <c r="A15" s="1465"/>
      <c r="B15" s="1442" t="s">
        <v>18</v>
      </c>
      <c r="C15" s="48">
        <v>1.65</v>
      </c>
      <c r="D15" s="1478" t="s">
        <v>379</v>
      </c>
      <c r="E15" s="1478"/>
      <c r="F15" s="1478"/>
      <c r="G15" s="1478"/>
      <c r="H15" s="1478"/>
      <c r="I15" s="1468">
        <f>(I21*3+I37*2+I39*2+I44+I51*27)/2.5</f>
        <v>1887.2</v>
      </c>
      <c r="J15" s="1456"/>
      <c r="K15" s="1456"/>
      <c r="L15" s="1456"/>
      <c r="M15" s="1455">
        <f>(I21*3+I37*2+I40*2+I44+I51*27)/2.5</f>
        <v>1975.2</v>
      </c>
      <c r="N15" s="1456"/>
      <c r="O15" s="1456"/>
      <c r="P15" s="1457"/>
      <c r="Q15" s="11"/>
    </row>
    <row r="16" spans="1:18" ht="65.099999999999994" customHeight="1">
      <c r="A16" s="1465"/>
      <c r="B16" s="1442"/>
      <c r="C16" s="117">
        <v>2</v>
      </c>
      <c r="D16" s="1478"/>
      <c r="E16" s="1478"/>
      <c r="F16" s="1478"/>
      <c r="G16" s="1478"/>
      <c r="H16" s="1478"/>
      <c r="I16" s="1485">
        <f>(I22*3+I37*2+I39*2+I44+I51*27)/2.5</f>
        <v>2108</v>
      </c>
      <c r="J16" s="1486"/>
      <c r="K16" s="1486"/>
      <c r="L16" s="1486"/>
      <c r="M16" s="1497">
        <f>(I22*3+I37*2+I40*2+I44+I51*27)/2.5</f>
        <v>2196</v>
      </c>
      <c r="N16" s="1486"/>
      <c r="O16" s="1486"/>
      <c r="P16" s="1506"/>
      <c r="Q16" s="11"/>
    </row>
    <row r="17" spans="1:18" ht="65.099999999999994" customHeight="1">
      <c r="A17" s="1256"/>
      <c r="B17" s="1539" t="s">
        <v>17</v>
      </c>
      <c r="C17" s="204">
        <v>2</v>
      </c>
      <c r="D17" s="1301" t="s">
        <v>23</v>
      </c>
      <c r="E17" s="1302"/>
      <c r="F17" s="1302"/>
      <c r="G17" s="1302"/>
      <c r="H17" s="1303"/>
      <c r="I17" s="1468">
        <f>(I21*3+I37*3+I38+I39*2+I44+I51*33)/2.5</f>
        <v>2538.4</v>
      </c>
      <c r="J17" s="1456"/>
      <c r="K17" s="1456"/>
      <c r="L17" s="1456"/>
      <c r="M17" s="1455">
        <f>(I21*3+I37*3+I38+I40*2+I44+I51*36)/2.5</f>
        <v>2631.2</v>
      </c>
      <c r="N17" s="1456"/>
      <c r="O17" s="1456"/>
      <c r="P17" s="1457"/>
      <c r="Q17" s="11"/>
    </row>
    <row r="18" spans="1:18" ht="65.099999999999994" customHeight="1">
      <c r="A18" s="1257"/>
      <c r="B18" s="1540"/>
      <c r="C18" s="205">
        <v>2.4</v>
      </c>
      <c r="D18" s="1307"/>
      <c r="E18" s="1308"/>
      <c r="F18" s="1308"/>
      <c r="G18" s="1308"/>
      <c r="H18" s="1309"/>
      <c r="I18" s="1543">
        <f>(I22*3+I37*3+I38+I32+I39*2+I47*2+I51*39)/2.5</f>
        <v>3265.6</v>
      </c>
      <c r="J18" s="1486"/>
      <c r="K18" s="1486"/>
      <c r="L18" s="1486"/>
      <c r="M18" s="1497">
        <f>(I22*3+I37*3+I38+I32+I40*2+I47*2+I51*43)/2.5</f>
        <v>3360</v>
      </c>
      <c r="N18" s="1486"/>
      <c r="O18" s="1486"/>
      <c r="P18" s="1506"/>
      <c r="Q18" s="11"/>
    </row>
    <row r="19" spans="1:18" ht="30">
      <c r="A19" s="1538" t="s">
        <v>405</v>
      </c>
      <c r="B19" s="1538"/>
      <c r="C19" s="1538"/>
      <c r="D19" s="1538"/>
      <c r="E19" s="1538"/>
      <c r="F19" s="1538"/>
      <c r="G19" s="1538"/>
      <c r="H19" s="1538"/>
      <c r="I19" s="1538"/>
      <c r="J19" s="1538"/>
      <c r="K19" s="1538"/>
      <c r="L19" s="1538"/>
      <c r="M19" s="1538"/>
      <c r="N19" s="1538"/>
      <c r="O19" s="1538"/>
      <c r="P19" s="1538"/>
      <c r="Q19" s="11"/>
    </row>
    <row r="20" spans="1:18" ht="55.5" customHeight="1">
      <c r="A20" s="32" t="s">
        <v>200</v>
      </c>
      <c r="B20" s="1228" t="s">
        <v>189</v>
      </c>
      <c r="C20" s="1228"/>
      <c r="D20" s="32" t="s">
        <v>261</v>
      </c>
      <c r="E20" s="32" t="s">
        <v>262</v>
      </c>
      <c r="F20" s="32" t="s">
        <v>82</v>
      </c>
      <c r="G20" s="32" t="s">
        <v>117</v>
      </c>
      <c r="H20" s="32" t="s">
        <v>263</v>
      </c>
      <c r="I20" s="1228" t="s">
        <v>264</v>
      </c>
      <c r="J20" s="1228"/>
      <c r="K20" s="1228"/>
      <c r="L20" s="1228"/>
      <c r="M20" s="1228"/>
      <c r="N20" s="1228"/>
      <c r="O20" s="1228"/>
      <c r="P20" s="1228"/>
      <c r="Q20" s="184" t="s">
        <v>66</v>
      </c>
    </row>
    <row r="21" spans="1:18" ht="20.25">
      <c r="A21" s="1262"/>
      <c r="B21" s="1442" t="s">
        <v>196</v>
      </c>
      <c r="C21" s="1442"/>
      <c r="D21" s="23" t="s">
        <v>118</v>
      </c>
      <c r="E21" s="1382">
        <v>100</v>
      </c>
      <c r="F21" s="24">
        <v>5.9</v>
      </c>
      <c r="G21" s="1536" t="s">
        <v>98</v>
      </c>
      <c r="H21" s="1541">
        <v>0.5</v>
      </c>
      <c r="I21" s="1535">
        <f t="shared" ref="I21:I48" si="0">ROUND(Q21*(1-$B$65),2)</f>
        <v>797</v>
      </c>
      <c r="J21" s="1535"/>
      <c r="K21" s="1535"/>
      <c r="L21" s="1535"/>
      <c r="M21" s="1535"/>
      <c r="N21" s="1535"/>
      <c r="O21" s="1535"/>
      <c r="P21" s="1535"/>
      <c r="Q21" s="194">
        <v>797</v>
      </c>
      <c r="R21" s="3"/>
    </row>
    <row r="22" spans="1:18" ht="20.25">
      <c r="A22" s="1262"/>
      <c r="B22" s="1442"/>
      <c r="C22" s="1442"/>
      <c r="D22" s="25" t="s">
        <v>149</v>
      </c>
      <c r="E22" s="1384"/>
      <c r="F22" s="26">
        <v>7.3</v>
      </c>
      <c r="G22" s="1537"/>
      <c r="H22" s="1542"/>
      <c r="I22" s="1522">
        <f t="shared" si="0"/>
        <v>981</v>
      </c>
      <c r="J22" s="1522"/>
      <c r="K22" s="1522"/>
      <c r="L22" s="1522"/>
      <c r="M22" s="1522"/>
      <c r="N22" s="1522"/>
      <c r="O22" s="1522"/>
      <c r="P22" s="1522"/>
      <c r="Q22" s="194">
        <v>981</v>
      </c>
      <c r="R22" s="3"/>
    </row>
    <row r="23" spans="1:18" ht="20.25">
      <c r="A23" s="1262"/>
      <c r="B23" s="1442" t="s">
        <v>150</v>
      </c>
      <c r="C23" s="1442"/>
      <c r="D23" s="23" t="s">
        <v>151</v>
      </c>
      <c r="E23" s="1382">
        <v>180</v>
      </c>
      <c r="F23" s="24">
        <v>2.4500000000000002</v>
      </c>
      <c r="G23" s="1342" t="s">
        <v>152</v>
      </c>
      <c r="H23" s="1523">
        <v>1</v>
      </c>
      <c r="I23" s="1530">
        <f t="shared" si="0"/>
        <v>314</v>
      </c>
      <c r="J23" s="1531"/>
      <c r="K23" s="1531"/>
      <c r="L23" s="1531"/>
      <c r="M23" s="1531"/>
      <c r="N23" s="1531"/>
      <c r="O23" s="1531"/>
      <c r="P23" s="1532"/>
      <c r="Q23" s="194">
        <v>314</v>
      </c>
      <c r="R23" s="3"/>
    </row>
    <row r="24" spans="1:18" ht="20.25">
      <c r="A24" s="1262"/>
      <c r="B24" s="1442"/>
      <c r="C24" s="1442"/>
      <c r="D24" s="25" t="s">
        <v>153</v>
      </c>
      <c r="E24" s="1384"/>
      <c r="F24" s="26">
        <v>2.94</v>
      </c>
      <c r="G24" s="1342"/>
      <c r="H24" s="1523"/>
      <c r="I24" s="1439">
        <f t="shared" si="0"/>
        <v>377</v>
      </c>
      <c r="J24" s="1440"/>
      <c r="K24" s="1440"/>
      <c r="L24" s="1440"/>
      <c r="M24" s="1440"/>
      <c r="N24" s="1440"/>
      <c r="O24" s="1440"/>
      <c r="P24" s="1441"/>
      <c r="Q24" s="194">
        <v>377</v>
      </c>
      <c r="R24" s="3"/>
    </row>
    <row r="25" spans="1:18" ht="20.25">
      <c r="A25" s="1262"/>
      <c r="B25" s="1442"/>
      <c r="C25" s="1442"/>
      <c r="D25" s="27" t="s">
        <v>151</v>
      </c>
      <c r="E25" s="1382">
        <v>180</v>
      </c>
      <c r="F25" s="28">
        <v>2.4500000000000002</v>
      </c>
      <c r="G25" s="1342" t="s">
        <v>197</v>
      </c>
      <c r="H25" s="1523"/>
      <c r="I25" s="1530">
        <f t="shared" si="0"/>
        <v>470</v>
      </c>
      <c r="J25" s="1531"/>
      <c r="K25" s="1531"/>
      <c r="L25" s="1531"/>
      <c r="M25" s="1531"/>
      <c r="N25" s="1531"/>
      <c r="O25" s="1531"/>
      <c r="P25" s="1532"/>
      <c r="Q25" s="194">
        <v>470</v>
      </c>
      <c r="R25" s="3"/>
    </row>
    <row r="26" spans="1:18" ht="20.25">
      <c r="A26" s="1262"/>
      <c r="B26" s="1442"/>
      <c r="C26" s="1442"/>
      <c r="D26" s="25" t="s">
        <v>153</v>
      </c>
      <c r="E26" s="1384"/>
      <c r="F26" s="26">
        <v>2.94</v>
      </c>
      <c r="G26" s="1342"/>
      <c r="H26" s="1523"/>
      <c r="I26" s="1439">
        <f t="shared" si="0"/>
        <v>548</v>
      </c>
      <c r="J26" s="1440"/>
      <c r="K26" s="1440"/>
      <c r="L26" s="1440"/>
      <c r="M26" s="1440"/>
      <c r="N26" s="1440"/>
      <c r="O26" s="1440"/>
      <c r="P26" s="1441"/>
      <c r="Q26" s="194">
        <v>548</v>
      </c>
      <c r="R26" s="3"/>
    </row>
    <row r="27" spans="1:18" ht="20.25" customHeight="1">
      <c r="A27" s="323"/>
      <c r="B27" s="1524" t="s">
        <v>78</v>
      </c>
      <c r="C27" s="1525"/>
      <c r="D27" s="1520" t="s">
        <v>204</v>
      </c>
      <c r="E27" s="1394">
        <v>96</v>
      </c>
      <c r="F27" s="1533">
        <v>5.42</v>
      </c>
      <c r="G27" s="133" t="s">
        <v>152</v>
      </c>
      <c r="H27" s="1549"/>
      <c r="I27" s="1530">
        <f t="shared" si="0"/>
        <v>592</v>
      </c>
      <c r="J27" s="1531"/>
      <c r="K27" s="1531"/>
      <c r="L27" s="1531"/>
      <c r="M27" s="1531"/>
      <c r="N27" s="1531"/>
      <c r="O27" s="1531"/>
      <c r="P27" s="1532"/>
      <c r="Q27" s="194">
        <v>592</v>
      </c>
      <c r="R27" s="3"/>
    </row>
    <row r="28" spans="1:18" ht="20.25">
      <c r="A28" s="323"/>
      <c r="B28" s="1526"/>
      <c r="C28" s="1527"/>
      <c r="D28" s="1521"/>
      <c r="E28" s="1394"/>
      <c r="F28" s="1534"/>
      <c r="G28" s="134" t="s">
        <v>197</v>
      </c>
      <c r="H28" s="1549"/>
      <c r="I28" s="1439">
        <f t="shared" si="0"/>
        <v>845</v>
      </c>
      <c r="J28" s="1440"/>
      <c r="K28" s="1440"/>
      <c r="L28" s="1440"/>
      <c r="M28" s="1440"/>
      <c r="N28" s="1440"/>
      <c r="O28" s="1440"/>
      <c r="P28" s="1441"/>
      <c r="Q28" s="194">
        <v>845</v>
      </c>
      <c r="R28" s="3"/>
    </row>
    <row r="29" spans="1:18" ht="20.25">
      <c r="A29" s="323"/>
      <c r="B29" s="1526"/>
      <c r="C29" s="1527"/>
      <c r="D29" s="1227" t="s">
        <v>154</v>
      </c>
      <c r="E29" s="1394"/>
      <c r="F29" s="1551">
        <v>6.78</v>
      </c>
      <c r="G29" s="133" t="s">
        <v>152</v>
      </c>
      <c r="H29" s="1549"/>
      <c r="I29" s="1530">
        <f t="shared" si="0"/>
        <v>704</v>
      </c>
      <c r="J29" s="1531"/>
      <c r="K29" s="1531"/>
      <c r="L29" s="1531"/>
      <c r="M29" s="1531"/>
      <c r="N29" s="1531"/>
      <c r="O29" s="1531"/>
      <c r="P29" s="1532"/>
      <c r="Q29" s="194">
        <v>704</v>
      </c>
      <c r="R29" s="3"/>
    </row>
    <row r="30" spans="1:18" ht="20.25">
      <c r="A30" s="323"/>
      <c r="B30" s="1526"/>
      <c r="C30" s="1527"/>
      <c r="D30" s="1227"/>
      <c r="E30" s="1394"/>
      <c r="F30" s="1551"/>
      <c r="G30" s="134" t="s">
        <v>197</v>
      </c>
      <c r="H30" s="1549"/>
      <c r="I30" s="1439">
        <f t="shared" si="0"/>
        <v>1020</v>
      </c>
      <c r="J30" s="1440"/>
      <c r="K30" s="1440"/>
      <c r="L30" s="1440"/>
      <c r="M30" s="1440"/>
      <c r="N30" s="1440"/>
      <c r="O30" s="1440"/>
      <c r="P30" s="1441"/>
      <c r="Q30" s="194">
        <v>1020</v>
      </c>
      <c r="R30" s="3"/>
    </row>
    <row r="31" spans="1:18" ht="20.25">
      <c r="A31" s="323"/>
      <c r="B31" s="1526"/>
      <c r="C31" s="1527"/>
      <c r="D31" s="1227" t="s">
        <v>155</v>
      </c>
      <c r="E31" s="1394"/>
      <c r="F31" s="1551">
        <v>8.1300000000000008</v>
      </c>
      <c r="G31" s="133" t="s">
        <v>152</v>
      </c>
      <c r="H31" s="1549"/>
      <c r="I31" s="1530">
        <f t="shared" si="0"/>
        <v>845</v>
      </c>
      <c r="J31" s="1531"/>
      <c r="K31" s="1531"/>
      <c r="L31" s="1531"/>
      <c r="M31" s="1531"/>
      <c r="N31" s="1531"/>
      <c r="O31" s="1531"/>
      <c r="P31" s="1532"/>
      <c r="Q31" s="194">
        <v>845</v>
      </c>
      <c r="R31" s="3"/>
    </row>
    <row r="32" spans="1:18" ht="20.25">
      <c r="A32" s="323"/>
      <c r="B32" s="1526"/>
      <c r="C32" s="1527"/>
      <c r="D32" s="1227"/>
      <c r="E32" s="1394"/>
      <c r="F32" s="1551"/>
      <c r="G32" s="135" t="s">
        <v>197</v>
      </c>
      <c r="H32" s="1549"/>
      <c r="I32" s="1439">
        <f t="shared" si="0"/>
        <v>1225</v>
      </c>
      <c r="J32" s="1440"/>
      <c r="K32" s="1440"/>
      <c r="L32" s="1440"/>
      <c r="M32" s="1440"/>
      <c r="N32" s="1440"/>
      <c r="O32" s="1440"/>
      <c r="P32" s="1441"/>
      <c r="Q32" s="194">
        <v>1225</v>
      </c>
      <c r="R32" s="3"/>
    </row>
    <row r="33" spans="1:18" ht="20.25" customHeight="1">
      <c r="A33" s="323"/>
      <c r="B33" s="1526"/>
      <c r="C33" s="1527"/>
      <c r="D33" s="1520" t="s">
        <v>317</v>
      </c>
      <c r="E33" s="1394"/>
      <c r="F33" s="1533">
        <v>11.64</v>
      </c>
      <c r="G33" s="133" t="s">
        <v>152</v>
      </c>
      <c r="H33" s="1549"/>
      <c r="I33" s="1546">
        <f t="shared" si="0"/>
        <v>1226</v>
      </c>
      <c r="J33" s="1547"/>
      <c r="K33" s="1547"/>
      <c r="L33" s="1547"/>
      <c r="M33" s="1547"/>
      <c r="N33" s="1547"/>
      <c r="O33" s="1547"/>
      <c r="P33" s="1548"/>
      <c r="Q33" s="194">
        <v>1226</v>
      </c>
      <c r="R33" s="3"/>
    </row>
    <row r="34" spans="1:18" ht="20.25">
      <c r="A34" s="323"/>
      <c r="B34" s="1526"/>
      <c r="C34" s="1527"/>
      <c r="D34" s="1521"/>
      <c r="E34" s="1394"/>
      <c r="F34" s="1534"/>
      <c r="G34" s="135" t="s">
        <v>197</v>
      </c>
      <c r="H34" s="1549"/>
      <c r="I34" s="1517">
        <f t="shared" si="0"/>
        <v>1777</v>
      </c>
      <c r="J34" s="1518"/>
      <c r="K34" s="1518"/>
      <c r="L34" s="1518"/>
      <c r="M34" s="1518"/>
      <c r="N34" s="1518"/>
      <c r="O34" s="1518"/>
      <c r="P34" s="1519"/>
      <c r="Q34" s="194">
        <v>1777</v>
      </c>
      <c r="R34" s="3"/>
    </row>
    <row r="35" spans="1:18" ht="20.25">
      <c r="A35" s="323"/>
      <c r="B35" s="1526"/>
      <c r="C35" s="1527"/>
      <c r="D35" s="1520" t="s">
        <v>318</v>
      </c>
      <c r="E35" s="1394"/>
      <c r="F35" s="1533">
        <v>15.52</v>
      </c>
      <c r="G35" s="133" t="s">
        <v>152</v>
      </c>
      <c r="H35" s="1549"/>
      <c r="I35" s="1546">
        <f t="shared" si="0"/>
        <v>1634</v>
      </c>
      <c r="J35" s="1547"/>
      <c r="K35" s="1547"/>
      <c r="L35" s="1547"/>
      <c r="M35" s="1547"/>
      <c r="N35" s="1547"/>
      <c r="O35" s="1547"/>
      <c r="P35" s="1548"/>
      <c r="Q35" s="194">
        <v>1634</v>
      </c>
      <c r="R35" s="3"/>
    </row>
    <row r="36" spans="1:18" ht="20.25">
      <c r="A36" s="324"/>
      <c r="B36" s="1528"/>
      <c r="C36" s="1529"/>
      <c r="D36" s="1521"/>
      <c r="E36" s="1521"/>
      <c r="F36" s="1534"/>
      <c r="G36" s="135" t="s">
        <v>197</v>
      </c>
      <c r="H36" s="1550"/>
      <c r="I36" s="1517">
        <f t="shared" si="0"/>
        <v>2369</v>
      </c>
      <c r="J36" s="1518"/>
      <c r="K36" s="1518"/>
      <c r="L36" s="1518"/>
      <c r="M36" s="1518"/>
      <c r="N36" s="1518"/>
      <c r="O36" s="1518"/>
      <c r="P36" s="1519"/>
      <c r="Q36" s="194">
        <v>2369</v>
      </c>
      <c r="R36" s="3"/>
    </row>
    <row r="37" spans="1:18" ht="39.75" customHeight="1">
      <c r="A37" s="47"/>
      <c r="B37" s="1442" t="s">
        <v>230</v>
      </c>
      <c r="C37" s="1442"/>
      <c r="D37" s="10" t="s">
        <v>231</v>
      </c>
      <c r="E37" s="10">
        <v>162</v>
      </c>
      <c r="F37" s="29">
        <v>3.3</v>
      </c>
      <c r="G37" s="29" t="s">
        <v>98</v>
      </c>
      <c r="H37" s="22">
        <v>1</v>
      </c>
      <c r="I37" s="1516">
        <f t="shared" si="0"/>
        <v>545</v>
      </c>
      <c r="J37" s="1516"/>
      <c r="K37" s="1516"/>
      <c r="L37" s="1516"/>
      <c r="M37" s="1516"/>
      <c r="N37" s="1516"/>
      <c r="O37" s="1516"/>
      <c r="P37" s="1516"/>
      <c r="Q37" s="194">
        <v>545</v>
      </c>
      <c r="R37" s="3"/>
    </row>
    <row r="38" spans="1:18" ht="39.75" customHeight="1">
      <c r="A38" s="47"/>
      <c r="B38" s="1442" t="s">
        <v>314</v>
      </c>
      <c r="C38" s="1442"/>
      <c r="D38" s="10" t="s">
        <v>245</v>
      </c>
      <c r="E38" s="10">
        <v>100</v>
      </c>
      <c r="F38" s="29">
        <v>3.6</v>
      </c>
      <c r="G38" s="29" t="s">
        <v>197</v>
      </c>
      <c r="H38" s="22">
        <v>0.5</v>
      </c>
      <c r="I38" s="1516">
        <f t="shared" si="0"/>
        <v>1059</v>
      </c>
      <c r="J38" s="1516"/>
      <c r="K38" s="1516"/>
      <c r="L38" s="1516"/>
      <c r="M38" s="1516"/>
      <c r="N38" s="1516"/>
      <c r="O38" s="1516"/>
      <c r="P38" s="1516"/>
      <c r="Q38" s="194">
        <v>1059</v>
      </c>
      <c r="R38" s="3"/>
    </row>
    <row r="39" spans="1:18" ht="20.25">
      <c r="A39" s="1262"/>
      <c r="B39" s="1442" t="s">
        <v>246</v>
      </c>
      <c r="C39" s="1442"/>
      <c r="D39" s="23" t="s">
        <v>247</v>
      </c>
      <c r="E39" s="1382">
        <v>154</v>
      </c>
      <c r="F39" s="24">
        <v>3.3</v>
      </c>
      <c r="G39" s="1342" t="s">
        <v>98</v>
      </c>
      <c r="H39" s="1523">
        <v>1</v>
      </c>
      <c r="I39" s="1514">
        <f t="shared" si="0"/>
        <v>545</v>
      </c>
      <c r="J39" s="1514"/>
      <c r="K39" s="1514"/>
      <c r="L39" s="1514"/>
      <c r="M39" s="1514"/>
      <c r="N39" s="1514"/>
      <c r="O39" s="1514"/>
      <c r="P39" s="1514"/>
      <c r="Q39" s="194">
        <v>545</v>
      </c>
      <c r="R39" s="3"/>
    </row>
    <row r="40" spans="1:18" ht="20.25">
      <c r="A40" s="1262"/>
      <c r="B40" s="1442"/>
      <c r="C40" s="1442"/>
      <c r="D40" s="25" t="s">
        <v>248</v>
      </c>
      <c r="E40" s="1384"/>
      <c r="F40" s="26">
        <v>3.96</v>
      </c>
      <c r="G40" s="1342"/>
      <c r="H40" s="1523"/>
      <c r="I40" s="1522">
        <f t="shared" si="0"/>
        <v>655</v>
      </c>
      <c r="J40" s="1522"/>
      <c r="K40" s="1522"/>
      <c r="L40" s="1522"/>
      <c r="M40" s="1522"/>
      <c r="N40" s="1522"/>
      <c r="O40" s="1522"/>
      <c r="P40" s="1522"/>
      <c r="Q40" s="194">
        <v>655</v>
      </c>
      <c r="R40" s="3"/>
    </row>
    <row r="41" spans="1:18" ht="20.25">
      <c r="A41" s="1262"/>
      <c r="B41" s="1442" t="s">
        <v>249</v>
      </c>
      <c r="C41" s="1442"/>
      <c r="D41" s="1361" t="s">
        <v>250</v>
      </c>
      <c r="E41" s="1361">
        <v>42</v>
      </c>
      <c r="F41" s="1552">
        <v>0.25</v>
      </c>
      <c r="G41" s="24" t="s">
        <v>152</v>
      </c>
      <c r="H41" s="1523">
        <v>1.4</v>
      </c>
      <c r="I41" s="1514">
        <f t="shared" si="0"/>
        <v>50</v>
      </c>
      <c r="J41" s="1514"/>
      <c r="K41" s="1514"/>
      <c r="L41" s="1514"/>
      <c r="M41" s="1514"/>
      <c r="N41" s="1514"/>
      <c r="O41" s="1514"/>
      <c r="P41" s="1514"/>
      <c r="Q41" s="194">
        <v>50</v>
      </c>
      <c r="R41" s="3"/>
    </row>
    <row r="42" spans="1:18" ht="20.25">
      <c r="A42" s="1262"/>
      <c r="B42" s="1442"/>
      <c r="C42" s="1442"/>
      <c r="D42" s="1361"/>
      <c r="E42" s="1361"/>
      <c r="F42" s="1553"/>
      <c r="G42" s="26" t="s">
        <v>197</v>
      </c>
      <c r="H42" s="1523"/>
      <c r="I42" s="1522">
        <f t="shared" si="0"/>
        <v>99</v>
      </c>
      <c r="J42" s="1522"/>
      <c r="K42" s="1522"/>
      <c r="L42" s="1522"/>
      <c r="M42" s="1522"/>
      <c r="N42" s="1522"/>
      <c r="O42" s="1522"/>
      <c r="P42" s="1522"/>
      <c r="Q42" s="194">
        <v>99</v>
      </c>
      <c r="R42" s="3"/>
    </row>
    <row r="43" spans="1:18" ht="39.75" customHeight="1">
      <c r="A43" s="47"/>
      <c r="B43" s="1442" t="s">
        <v>251</v>
      </c>
      <c r="C43" s="1442"/>
      <c r="D43" s="10" t="s">
        <v>252</v>
      </c>
      <c r="E43" s="10">
        <v>30</v>
      </c>
      <c r="F43" s="29">
        <v>0.3</v>
      </c>
      <c r="G43" s="29" t="s">
        <v>197</v>
      </c>
      <c r="H43" s="22">
        <v>1.4</v>
      </c>
      <c r="I43" s="1516">
        <f t="shared" si="0"/>
        <v>99</v>
      </c>
      <c r="J43" s="1516"/>
      <c r="K43" s="1516"/>
      <c r="L43" s="1516"/>
      <c r="M43" s="1516"/>
      <c r="N43" s="1516"/>
      <c r="O43" s="1516"/>
      <c r="P43" s="1516"/>
      <c r="Q43" s="194">
        <v>99</v>
      </c>
      <c r="R43" s="3"/>
    </row>
    <row r="44" spans="1:18" ht="39.75" customHeight="1">
      <c r="A44" s="47"/>
      <c r="B44" s="1442" t="s">
        <v>253</v>
      </c>
      <c r="C44" s="1442"/>
      <c r="D44" s="10" t="s">
        <v>254</v>
      </c>
      <c r="E44" s="10">
        <v>80</v>
      </c>
      <c r="F44" s="29">
        <v>0.02</v>
      </c>
      <c r="G44" s="29" t="s">
        <v>197</v>
      </c>
      <c r="H44" s="22">
        <v>0.5</v>
      </c>
      <c r="I44" s="1516">
        <f t="shared" si="0"/>
        <v>39</v>
      </c>
      <c r="J44" s="1516"/>
      <c r="K44" s="1516"/>
      <c r="L44" s="1516"/>
      <c r="M44" s="1516"/>
      <c r="N44" s="1516"/>
      <c r="O44" s="1516"/>
      <c r="P44" s="1516"/>
      <c r="Q44" s="194">
        <v>39</v>
      </c>
      <c r="R44" s="3"/>
    </row>
    <row r="45" spans="1:18" ht="39.75" customHeight="1">
      <c r="A45" s="47"/>
      <c r="B45" s="1442" t="s">
        <v>255</v>
      </c>
      <c r="C45" s="1442"/>
      <c r="D45" s="10" t="s">
        <v>256</v>
      </c>
      <c r="E45" s="10">
        <v>200</v>
      </c>
      <c r="F45" s="29" t="s">
        <v>100</v>
      </c>
      <c r="G45" s="29" t="s">
        <v>257</v>
      </c>
      <c r="H45" s="22" t="s">
        <v>100</v>
      </c>
      <c r="I45" s="1516">
        <f t="shared" si="0"/>
        <v>46</v>
      </c>
      <c r="J45" s="1516"/>
      <c r="K45" s="1516"/>
      <c r="L45" s="1516"/>
      <c r="M45" s="1516"/>
      <c r="N45" s="1516"/>
      <c r="O45" s="1516"/>
      <c r="P45" s="1516"/>
      <c r="Q45" s="194">
        <v>46</v>
      </c>
      <c r="R45" s="3"/>
    </row>
    <row r="46" spans="1:18" ht="39.75" customHeight="1">
      <c r="A46" s="47"/>
      <c r="B46" s="1442" t="s">
        <v>258</v>
      </c>
      <c r="C46" s="1442"/>
      <c r="D46" s="10" t="s">
        <v>259</v>
      </c>
      <c r="E46" s="10">
        <v>100</v>
      </c>
      <c r="F46" s="29">
        <v>0.13700000000000001</v>
      </c>
      <c r="G46" s="29" t="s">
        <v>152</v>
      </c>
      <c r="H46" s="22">
        <v>1.4</v>
      </c>
      <c r="I46" s="1516">
        <f t="shared" si="0"/>
        <v>50</v>
      </c>
      <c r="J46" s="1516"/>
      <c r="K46" s="1516"/>
      <c r="L46" s="1516"/>
      <c r="M46" s="1516"/>
      <c r="N46" s="1516"/>
      <c r="O46" s="1516"/>
      <c r="P46" s="1516"/>
      <c r="Q46" s="194">
        <v>50</v>
      </c>
      <c r="R46" s="3"/>
    </row>
    <row r="47" spans="1:18" ht="39.75" customHeight="1">
      <c r="A47" s="47"/>
      <c r="B47" s="1442" t="s">
        <v>226</v>
      </c>
      <c r="C47" s="1442"/>
      <c r="D47" s="10" t="s">
        <v>227</v>
      </c>
      <c r="E47" s="10">
        <v>160</v>
      </c>
      <c r="F47" s="29">
        <v>0.01</v>
      </c>
      <c r="G47" s="29" t="s">
        <v>197</v>
      </c>
      <c r="H47" s="22">
        <v>0.5</v>
      </c>
      <c r="I47" s="1516">
        <f t="shared" si="0"/>
        <v>28</v>
      </c>
      <c r="J47" s="1516"/>
      <c r="K47" s="1516"/>
      <c r="L47" s="1516"/>
      <c r="M47" s="1516"/>
      <c r="N47" s="1516"/>
      <c r="O47" s="1516"/>
      <c r="P47" s="1516"/>
      <c r="Q47" s="194">
        <v>28</v>
      </c>
      <c r="R47" s="3"/>
    </row>
    <row r="48" spans="1:18" ht="39.75" customHeight="1">
      <c r="A48" s="52"/>
      <c r="B48" s="1557" t="s">
        <v>390</v>
      </c>
      <c r="C48" s="1558"/>
      <c r="D48" s="152" t="s">
        <v>389</v>
      </c>
      <c r="E48" s="1559" t="s">
        <v>100</v>
      </c>
      <c r="F48" s="1560"/>
      <c r="G48" s="1560"/>
      <c r="H48" s="1561"/>
      <c r="I48" s="1511">
        <f t="shared" si="0"/>
        <v>300</v>
      </c>
      <c r="J48" s="1512"/>
      <c r="K48" s="1512"/>
      <c r="L48" s="1512"/>
      <c r="M48" s="1512"/>
      <c r="N48" s="1512"/>
      <c r="O48" s="1512"/>
      <c r="P48" s="1513"/>
      <c r="Q48" s="194">
        <v>300</v>
      </c>
      <c r="R48" s="3"/>
    </row>
    <row r="49" spans="1:18" ht="41.25" customHeight="1">
      <c r="A49" s="52"/>
      <c r="B49" s="1349" t="s">
        <v>202</v>
      </c>
      <c r="C49" s="1349"/>
      <c r="D49" s="1521" t="s">
        <v>239</v>
      </c>
      <c r="E49" s="31">
        <v>1000</v>
      </c>
      <c r="F49" s="53"/>
      <c r="G49" s="31" t="s">
        <v>198</v>
      </c>
      <c r="H49" s="31" t="s">
        <v>100</v>
      </c>
      <c r="I49" s="1510">
        <f>ROUND(Q49*(1-$F$65),2)</f>
        <v>1.6</v>
      </c>
      <c r="J49" s="1510"/>
      <c r="K49" s="1510"/>
      <c r="L49" s="1510"/>
      <c r="M49" s="1510"/>
      <c r="N49" s="1510"/>
      <c r="O49" s="1510"/>
      <c r="P49" s="1510"/>
      <c r="Q49" s="194">
        <v>1.6</v>
      </c>
      <c r="R49" s="3"/>
    </row>
    <row r="50" spans="1:18" ht="42.75" customHeight="1">
      <c r="A50" s="47"/>
      <c r="B50" s="1341" t="s">
        <v>203</v>
      </c>
      <c r="C50" s="1341"/>
      <c r="D50" s="1227"/>
      <c r="E50" s="9">
        <v>1000</v>
      </c>
      <c r="F50" s="30"/>
      <c r="G50" s="31" t="s">
        <v>198</v>
      </c>
      <c r="H50" s="9" t="s">
        <v>100</v>
      </c>
      <c r="I50" s="1510">
        <f>ROUND(Q50*(1-$F$65),2)</f>
        <v>1.7</v>
      </c>
      <c r="J50" s="1510"/>
      <c r="K50" s="1510"/>
      <c r="L50" s="1510"/>
      <c r="M50" s="1510"/>
      <c r="N50" s="1510"/>
      <c r="O50" s="1510"/>
      <c r="P50" s="1510"/>
      <c r="Q50" s="194">
        <v>1.7</v>
      </c>
      <c r="R50" s="3"/>
    </row>
    <row r="51" spans="1:18" ht="41.25" customHeight="1">
      <c r="A51" s="1262"/>
      <c r="B51" s="1555" t="s">
        <v>199</v>
      </c>
      <c r="C51" s="1555"/>
      <c r="D51" s="1227"/>
      <c r="E51" s="1361">
        <v>250</v>
      </c>
      <c r="F51" s="1342"/>
      <c r="G51" s="1342" t="s">
        <v>198</v>
      </c>
      <c r="H51" s="1523" t="s">
        <v>100</v>
      </c>
      <c r="I51" s="1515">
        <f>ROUND(Q51*(1-$D$65),2)</f>
        <v>4</v>
      </c>
      <c r="J51" s="1515"/>
      <c r="K51" s="1515"/>
      <c r="L51" s="1515"/>
      <c r="M51" s="1515"/>
      <c r="N51" s="1515"/>
      <c r="O51" s="1515"/>
      <c r="P51" s="1515"/>
      <c r="Q51" s="194">
        <v>4</v>
      </c>
      <c r="R51" s="3"/>
    </row>
    <row r="52" spans="1:18" ht="41.25" customHeight="1">
      <c r="A52" s="1262"/>
      <c r="B52" s="1556" t="s">
        <v>201</v>
      </c>
      <c r="C52" s="1556"/>
      <c r="D52" s="1227"/>
      <c r="E52" s="1361"/>
      <c r="F52" s="1342"/>
      <c r="G52" s="1342"/>
      <c r="H52" s="1523"/>
      <c r="I52" s="1509">
        <f>ROUND(Q52*(1-$C$65),2)</f>
        <v>4</v>
      </c>
      <c r="J52" s="1509"/>
      <c r="K52" s="1509"/>
      <c r="L52" s="1509"/>
      <c r="M52" s="1509"/>
      <c r="N52" s="1509"/>
      <c r="O52" s="1509"/>
      <c r="P52" s="1509"/>
      <c r="Q52" s="194">
        <v>4</v>
      </c>
      <c r="R52" s="3"/>
    </row>
    <row r="53" spans="1:18" ht="20.25">
      <c r="P53" s="49"/>
      <c r="Q53" s="49"/>
    </row>
    <row r="54" spans="1:18" ht="20.25">
      <c r="A54" s="83" t="s">
        <v>653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50"/>
      <c r="Q54" s="50"/>
    </row>
    <row r="55" spans="1:18" ht="20.25">
      <c r="A55" s="39" t="s">
        <v>654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50"/>
      <c r="Q55" s="50"/>
    </row>
    <row r="56" spans="1:18" ht="20.25">
      <c r="A56" s="39" t="s">
        <v>655</v>
      </c>
      <c r="B56" s="11"/>
      <c r="C56" s="11"/>
      <c r="D56" s="11"/>
      <c r="E56" s="11"/>
      <c r="F56" s="11"/>
      <c r="G56" s="38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1:18" ht="20.25">
      <c r="A57" s="39" t="s">
        <v>639</v>
      </c>
      <c r="B57" s="11"/>
      <c r="C57" s="11"/>
      <c r="D57" s="11"/>
      <c r="E57" s="11"/>
      <c r="F57" s="11"/>
      <c r="G57" s="38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1:18" ht="20.25">
      <c r="A58" s="39" t="s">
        <v>652</v>
      </c>
      <c r="B58" s="11"/>
      <c r="C58" s="11"/>
      <c r="D58" s="11"/>
      <c r="E58" s="11"/>
      <c r="F58" s="11"/>
      <c r="G58" s="38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1:18" ht="20.25">
      <c r="A59" s="39" t="s">
        <v>210</v>
      </c>
      <c r="P59" s="11"/>
      <c r="Q59" s="11"/>
    </row>
    <row r="60" spans="1:18" ht="20.25">
      <c r="A60" s="11"/>
      <c r="B60" s="11"/>
      <c r="C60" s="11"/>
      <c r="D60" s="11"/>
      <c r="E60" s="11"/>
      <c r="F60" s="11"/>
      <c r="G60" s="38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1:18" ht="20.25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11"/>
      <c r="Q61" s="11"/>
    </row>
    <row r="62" spans="1:18" ht="20.25">
      <c r="B62" s="11"/>
      <c r="C62" s="11"/>
      <c r="D62" s="11"/>
      <c r="E62" s="11"/>
      <c r="F62" s="11"/>
      <c r="G62" s="38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1:18" ht="12.75" customHeight="1">
      <c r="A63" s="39"/>
      <c r="B63" s="11"/>
      <c r="C63" s="11"/>
      <c r="D63" s="11"/>
      <c r="E63" s="11"/>
      <c r="F63" s="11"/>
      <c r="G63" s="38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1:18" ht="52.5" hidden="1" customHeight="1">
      <c r="A64" s="1554" t="s">
        <v>115</v>
      </c>
      <c r="B64" s="86" t="s">
        <v>182</v>
      </c>
      <c r="C64" s="87" t="s">
        <v>193</v>
      </c>
      <c r="D64" s="1562" t="s">
        <v>194</v>
      </c>
      <c r="E64" s="1563"/>
      <c r="F64" s="1544" t="s">
        <v>195</v>
      </c>
      <c r="G64" s="1545"/>
      <c r="H64" s="1545"/>
      <c r="I64" s="11"/>
      <c r="J64" s="11"/>
      <c r="K64" s="11"/>
      <c r="L64" s="11"/>
      <c r="M64" s="11"/>
      <c r="N64" s="11"/>
      <c r="O64" s="11"/>
      <c r="P64" s="11"/>
      <c r="Q64" s="11"/>
    </row>
    <row r="65" spans="1:17" ht="33" hidden="1">
      <c r="A65" s="1554"/>
      <c r="B65" s="82">
        <v>0</v>
      </c>
      <c r="C65" s="82">
        <v>0</v>
      </c>
      <c r="D65" s="1003">
        <v>0</v>
      </c>
      <c r="E65" s="1005"/>
      <c r="F65" s="1003">
        <v>0</v>
      </c>
      <c r="G65" s="1004"/>
      <c r="H65" s="1005"/>
      <c r="I65" s="11"/>
      <c r="J65" s="11"/>
      <c r="K65" s="11"/>
      <c r="L65" s="11"/>
      <c r="M65" s="11"/>
      <c r="N65" s="11"/>
      <c r="O65" s="11"/>
      <c r="P65" s="11"/>
      <c r="Q65" s="11"/>
    </row>
    <row r="66" spans="1:17" ht="20.25">
      <c r="B66" s="11"/>
      <c r="C66" s="11"/>
      <c r="D66" s="11"/>
      <c r="E66" s="11"/>
      <c r="F66" s="38"/>
      <c r="G66" s="38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1:17" ht="20.25">
      <c r="A67" s="11"/>
      <c r="B67" s="11"/>
      <c r="C67" s="11"/>
      <c r="D67" s="11"/>
      <c r="E67" s="11"/>
      <c r="F67" s="11"/>
      <c r="G67" s="38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1:17" ht="20.25">
      <c r="A68" s="11"/>
      <c r="B68" s="11"/>
      <c r="C68" s="11"/>
      <c r="D68" s="11"/>
      <c r="E68" s="11"/>
      <c r="F68" s="11"/>
      <c r="G68" s="38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1:17" ht="20.25">
      <c r="A69" s="11"/>
      <c r="B69" s="11"/>
      <c r="C69" s="11"/>
      <c r="D69" s="11"/>
      <c r="E69" s="11"/>
      <c r="F69" s="11"/>
      <c r="G69" s="38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1:17" ht="20.25">
      <c r="A70" s="11"/>
      <c r="B70" s="11"/>
      <c r="C70" s="11"/>
      <c r="D70" s="11"/>
      <c r="E70" s="11"/>
      <c r="F70" s="11"/>
      <c r="G70" s="38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3" spans="1:17" ht="20.25">
      <c r="A73" s="83"/>
    </row>
    <row r="74" spans="1:17" ht="20.25">
      <c r="A74" s="39"/>
    </row>
    <row r="75" spans="1:17" ht="20.25">
      <c r="A75" s="39"/>
    </row>
    <row r="76" spans="1:17" ht="20.25">
      <c r="A76" s="39"/>
    </row>
    <row r="77" spans="1:17" ht="20.25">
      <c r="A77" s="39"/>
    </row>
    <row r="78" spans="1:17" ht="20.25">
      <c r="A78" s="11"/>
    </row>
    <row r="79" spans="1:17" ht="20.25">
      <c r="A79" s="84"/>
    </row>
  </sheetData>
  <sheetProtection formatCells="0" formatColumns="0" formatRows="0" insertColumns="0" insertRows="0" insertHyperlinks="0" deleteColumns="0" deleteRows="0" sort="0" autoFilter="0" pivotTables="0"/>
  <mergeCells count="147">
    <mergeCell ref="F65:H65"/>
    <mergeCell ref="A21:A22"/>
    <mergeCell ref="B21:C22"/>
    <mergeCell ref="B20:C20"/>
    <mergeCell ref="I35:P35"/>
    <mergeCell ref="I31:P31"/>
    <mergeCell ref="F27:F28"/>
    <mergeCell ref="I29:P29"/>
    <mergeCell ref="A64:A65"/>
    <mergeCell ref="B47:C47"/>
    <mergeCell ref="B49:C49"/>
    <mergeCell ref="D65:E65"/>
    <mergeCell ref="B51:C51"/>
    <mergeCell ref="A51:A52"/>
    <mergeCell ref="B52:C52"/>
    <mergeCell ref="B48:C48"/>
    <mergeCell ref="E48:H48"/>
    <mergeCell ref="H51:H52"/>
    <mergeCell ref="B50:C50"/>
    <mergeCell ref="D64:E64"/>
    <mergeCell ref="G51:G52"/>
    <mergeCell ref="D49:D52"/>
    <mergeCell ref="F51:F52"/>
    <mergeCell ref="E51:E52"/>
    <mergeCell ref="H21:H22"/>
    <mergeCell ref="I18:L18"/>
    <mergeCell ref="A23:A26"/>
    <mergeCell ref="F64:H64"/>
    <mergeCell ref="B46:C46"/>
    <mergeCell ref="B43:C43"/>
    <mergeCell ref="B41:C42"/>
    <mergeCell ref="B44:C44"/>
    <mergeCell ref="B45:C45"/>
    <mergeCell ref="B39:C40"/>
    <mergeCell ref="I32:P32"/>
    <mergeCell ref="I30:P30"/>
    <mergeCell ref="I33:P33"/>
    <mergeCell ref="F35:F36"/>
    <mergeCell ref="I38:P38"/>
    <mergeCell ref="H27:H36"/>
    <mergeCell ref="F29:F30"/>
    <mergeCell ref="F31:F32"/>
    <mergeCell ref="F41:F42"/>
    <mergeCell ref="D41:D42"/>
    <mergeCell ref="D35:D36"/>
    <mergeCell ref="H39:H40"/>
    <mergeCell ref="I44:P44"/>
    <mergeCell ref="I43:P43"/>
    <mergeCell ref="E21:E22"/>
    <mergeCell ref="E27:E36"/>
    <mergeCell ref="D27:D28"/>
    <mergeCell ref="I36:P36"/>
    <mergeCell ref="F33:F34"/>
    <mergeCell ref="I21:P21"/>
    <mergeCell ref="I25:P25"/>
    <mergeCell ref="G21:G22"/>
    <mergeCell ref="I17:L17"/>
    <mergeCell ref="I20:P20"/>
    <mergeCell ref="M18:P18"/>
    <mergeCell ref="G23:G24"/>
    <mergeCell ref="I23:P23"/>
    <mergeCell ref="H23:H26"/>
    <mergeCell ref="G25:G26"/>
    <mergeCell ref="A19:P19"/>
    <mergeCell ref="B23:C26"/>
    <mergeCell ref="E25:E26"/>
    <mergeCell ref="A17:A18"/>
    <mergeCell ref="B17:B18"/>
    <mergeCell ref="D17:H18"/>
    <mergeCell ref="I24:P24"/>
    <mergeCell ref="I22:P22"/>
    <mergeCell ref="M17:P17"/>
    <mergeCell ref="A41:A42"/>
    <mergeCell ref="I34:P34"/>
    <mergeCell ref="I39:P39"/>
    <mergeCell ref="D33:D34"/>
    <mergeCell ref="D29:D30"/>
    <mergeCell ref="A39:A40"/>
    <mergeCell ref="E39:E40"/>
    <mergeCell ref="I40:P40"/>
    <mergeCell ref="G39:G40"/>
    <mergeCell ref="H41:H42"/>
    <mergeCell ref="E41:E42"/>
    <mergeCell ref="I42:P42"/>
    <mergeCell ref="B37:C37"/>
    <mergeCell ref="D31:D32"/>
    <mergeCell ref="B38:C38"/>
    <mergeCell ref="B27:C36"/>
    <mergeCell ref="I37:P37"/>
    <mergeCell ref="I28:P28"/>
    <mergeCell ref="I27:P27"/>
    <mergeCell ref="I52:P52"/>
    <mergeCell ref="I49:P49"/>
    <mergeCell ref="I48:P48"/>
    <mergeCell ref="I41:P41"/>
    <mergeCell ref="I51:P51"/>
    <mergeCell ref="I50:P50"/>
    <mergeCell ref="I47:P47"/>
    <mergeCell ref="I46:P46"/>
    <mergeCell ref="I45:P45"/>
    <mergeCell ref="M5:P5"/>
    <mergeCell ref="I16:L16"/>
    <mergeCell ref="I3:P3"/>
    <mergeCell ref="D5:H8"/>
    <mergeCell ref="A13:H14"/>
    <mergeCell ref="C3:C4"/>
    <mergeCell ref="B3:B4"/>
    <mergeCell ref="A3:A4"/>
    <mergeCell ref="I11:L11"/>
    <mergeCell ref="A5:A8"/>
    <mergeCell ref="C5:C8"/>
    <mergeCell ref="B5:B8"/>
    <mergeCell ref="I5:L5"/>
    <mergeCell ref="K8:L8"/>
    <mergeCell ref="I8:J8"/>
    <mergeCell ref="M12:P12"/>
    <mergeCell ref="I12:L12"/>
    <mergeCell ref="M14:P14"/>
    <mergeCell ref="M10:P10"/>
    <mergeCell ref="M8:N8"/>
    <mergeCell ref="O8:P8"/>
    <mergeCell ref="M16:P16"/>
    <mergeCell ref="I13:P13"/>
    <mergeCell ref="D2:H2"/>
    <mergeCell ref="E23:E24"/>
    <mergeCell ref="I26:P26"/>
    <mergeCell ref="B15:B16"/>
    <mergeCell ref="O2:P2"/>
    <mergeCell ref="D11:H12"/>
    <mergeCell ref="A11:A12"/>
    <mergeCell ref="I10:L10"/>
    <mergeCell ref="M15:P15"/>
    <mergeCell ref="I7:J7"/>
    <mergeCell ref="K7:L7"/>
    <mergeCell ref="I4:P4"/>
    <mergeCell ref="I6:P6"/>
    <mergeCell ref="A15:A16"/>
    <mergeCell ref="M11:P11"/>
    <mergeCell ref="I15:L15"/>
    <mergeCell ref="A9:H10"/>
    <mergeCell ref="B11:B12"/>
    <mergeCell ref="I14:L14"/>
    <mergeCell ref="D15:H16"/>
    <mergeCell ref="D3:H4"/>
    <mergeCell ref="I9:P9"/>
    <mergeCell ref="M7:N7"/>
    <mergeCell ref="O7:P7"/>
  </mergeCells>
  <phoneticPr fontId="24" type="noConversion"/>
  <printOptions horizontalCentered="1"/>
  <pageMargins left="0" right="0" top="0" bottom="0" header="0" footer="0"/>
  <pageSetup paperSize="9" scale="41" orientation="portrait" r:id="rId1"/>
  <headerFooter scaleWithDoc="0">
    <oddFooter>&amp;R&amp;"Arial Cyr,полужирный"&amp;8стр. &amp;P из &amp;N &amp;"Arial Cyr,обычный"&amp;A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6">
    <tabColor rgb="FFC00000"/>
    <pageSetUpPr fitToPage="1"/>
  </sheetPr>
  <dimension ref="A1:HS90"/>
  <sheetViews>
    <sheetView showGridLines="0" topLeftCell="A40" zoomScale="55" zoomScaleNormal="55" zoomScaleSheetLayoutView="50" zoomScalePageLayoutView="55" workbookViewId="0">
      <selection activeCell="M2" sqref="M2"/>
    </sheetView>
  </sheetViews>
  <sheetFormatPr defaultColWidth="8.7109375" defaultRowHeight="15"/>
  <cols>
    <col min="1" max="1" width="38" style="65" customWidth="1"/>
    <col min="2" max="2" width="22.42578125" style="65" customWidth="1"/>
    <col min="3" max="3" width="14.7109375" style="65" customWidth="1"/>
    <col min="4" max="4" width="18.7109375" style="65" customWidth="1"/>
    <col min="5" max="5" width="29" style="65" customWidth="1"/>
    <col min="6" max="6" width="20.7109375" style="65" customWidth="1"/>
    <col min="7" max="7" width="17.85546875" style="65" customWidth="1"/>
    <col min="8" max="8" width="20.28515625" style="65" customWidth="1"/>
    <col min="9" max="9" width="26.5703125" style="65" customWidth="1"/>
    <col min="10" max="10" width="15.7109375" style="65" customWidth="1"/>
    <col min="11" max="12" width="18.5703125" style="65" customWidth="1"/>
    <col min="13" max="14" width="20.7109375" style="65" customWidth="1"/>
    <col min="15" max="15" width="13.42578125" style="190" hidden="1" customWidth="1"/>
    <col min="16" max="17" width="19.7109375" style="65" hidden="1" customWidth="1"/>
    <col min="18" max="18" width="19.85546875" style="65" hidden="1" customWidth="1"/>
    <col min="19" max="19" width="12.140625" style="65" hidden="1" customWidth="1"/>
    <col min="20" max="20" width="11" style="65" hidden="1" customWidth="1"/>
    <col min="21" max="21" width="12.7109375" style="65" hidden="1" customWidth="1"/>
    <col min="22" max="22" width="10.7109375" style="65" hidden="1" customWidth="1"/>
    <col min="23" max="23" width="25.28515625" style="65" hidden="1" customWidth="1"/>
    <col min="24" max="24" width="8.7109375" style="65" customWidth="1"/>
    <col min="25" max="16384" width="8.7109375" style="65"/>
  </cols>
  <sheetData>
    <row r="1" spans="1:227" ht="75.75" customHeight="1">
      <c r="B1" s="69"/>
      <c r="C1" s="69"/>
      <c r="D1" s="69"/>
      <c r="E1" s="1711" t="s">
        <v>642</v>
      </c>
      <c r="F1" s="1711"/>
      <c r="G1" s="1711"/>
      <c r="H1" s="1711"/>
      <c r="I1" s="1711"/>
      <c r="J1" s="1711"/>
      <c r="K1" s="69"/>
      <c r="O1" s="191"/>
      <c r="P1" s="69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</row>
    <row r="2" spans="1:227" ht="33" customHeight="1">
      <c r="A2" s="68"/>
      <c r="B2" s="68"/>
      <c r="C2" s="68"/>
      <c r="E2" s="1712"/>
      <c r="F2" s="1712"/>
      <c r="G2" s="1712"/>
      <c r="H2" s="1712"/>
      <c r="I2" s="1712"/>
      <c r="J2" s="1712"/>
      <c r="K2" s="325"/>
      <c r="M2" s="147"/>
      <c r="N2" s="163"/>
    </row>
    <row r="3" spans="1:227" ht="112.5" customHeight="1">
      <c r="A3" s="1581" t="s">
        <v>200</v>
      </c>
      <c r="B3" s="1572" t="s">
        <v>189</v>
      </c>
      <c r="C3" s="1573"/>
      <c r="D3" s="1573"/>
      <c r="E3" s="1574"/>
      <c r="F3" s="1581" t="s">
        <v>120</v>
      </c>
      <c r="G3" s="1581" t="s">
        <v>123</v>
      </c>
      <c r="H3" s="1581" t="s">
        <v>124</v>
      </c>
      <c r="I3" s="1661" t="s">
        <v>207</v>
      </c>
      <c r="J3" s="1662"/>
      <c r="K3" s="1622" t="s">
        <v>434</v>
      </c>
      <c r="L3" s="1623"/>
      <c r="M3" s="1623"/>
      <c r="N3" s="1624"/>
      <c r="O3" s="187" t="s">
        <v>66</v>
      </c>
    </row>
    <row r="4" spans="1:227" ht="28.5" customHeight="1">
      <c r="A4" s="1583"/>
      <c r="B4" s="1578"/>
      <c r="C4" s="1579"/>
      <c r="D4" s="1579"/>
      <c r="E4" s="1580"/>
      <c r="F4" s="1583"/>
      <c r="G4" s="1583"/>
      <c r="H4" s="1583"/>
      <c r="I4" s="1663"/>
      <c r="J4" s="1664"/>
      <c r="K4" s="1625" t="s">
        <v>236</v>
      </c>
      <c r="L4" s="1626"/>
      <c r="M4" s="1626"/>
      <c r="N4" s="1627"/>
      <c r="O4" s="188"/>
    </row>
    <row r="5" spans="1:227" ht="45" customHeight="1">
      <c r="A5" s="1658"/>
      <c r="B5" s="1715" t="s">
        <v>426</v>
      </c>
      <c r="C5" s="1716"/>
      <c r="D5" s="1716"/>
      <c r="E5" s="1717"/>
      <c r="F5" s="327" t="s">
        <v>427</v>
      </c>
      <c r="G5" s="328" t="s">
        <v>100</v>
      </c>
      <c r="H5" s="329">
        <v>20.2</v>
      </c>
      <c r="I5" s="1654">
        <f>ROUND(O5*(1-$B$64),2)</f>
        <v>4227</v>
      </c>
      <c r="J5" s="1655"/>
      <c r="K5" s="1628">
        <f>(I5+W26+W34*2)/2.5</f>
        <v>1992.8</v>
      </c>
      <c r="L5" s="1629"/>
      <c r="M5" s="1629"/>
      <c r="N5" s="1630"/>
      <c r="O5" s="189">
        <v>4227</v>
      </c>
      <c r="P5" s="186"/>
      <c r="X5" s="185"/>
    </row>
    <row r="6" spans="1:227" ht="45" customHeight="1">
      <c r="A6" s="1659"/>
      <c r="B6" s="1718"/>
      <c r="C6" s="1719"/>
      <c r="D6" s="1719"/>
      <c r="E6" s="1720"/>
      <c r="F6" s="330" t="s">
        <v>65</v>
      </c>
      <c r="G6" s="331" t="s">
        <v>100</v>
      </c>
      <c r="H6" s="332">
        <v>27.63</v>
      </c>
      <c r="I6" s="1652">
        <f>ROUND(O6*(1-$B$64),2)</f>
        <v>5011</v>
      </c>
      <c r="J6" s="1653"/>
      <c r="K6" s="1631">
        <f>(I6+W29+W34*2)/2.5</f>
        <v>2382.4</v>
      </c>
      <c r="L6" s="1632"/>
      <c r="M6" s="1632"/>
      <c r="N6" s="1633"/>
      <c r="O6" s="189">
        <v>5011</v>
      </c>
      <c r="P6" s="186"/>
      <c r="X6" s="185"/>
    </row>
    <row r="7" spans="1:227" ht="45" customHeight="1">
      <c r="A7" s="1660"/>
      <c r="B7" s="1721"/>
      <c r="C7" s="1722"/>
      <c r="D7" s="1722"/>
      <c r="E7" s="1723"/>
      <c r="F7" s="333" t="s">
        <v>428</v>
      </c>
      <c r="G7" s="334" t="s">
        <v>100</v>
      </c>
      <c r="H7" s="335">
        <v>35.06</v>
      </c>
      <c r="I7" s="1656">
        <f>ROUND(O7*(1-$B$64),2)</f>
        <v>5379</v>
      </c>
      <c r="J7" s="1657"/>
      <c r="K7" s="1634">
        <f>(I7+W32+W34*2)/2.5</f>
        <v>2599.6</v>
      </c>
      <c r="L7" s="1635"/>
      <c r="M7" s="1635"/>
      <c r="N7" s="1636"/>
      <c r="O7" s="189">
        <v>5379</v>
      </c>
      <c r="P7" s="186"/>
      <c r="X7" s="185"/>
    </row>
    <row r="8" spans="1:227" ht="15" customHeight="1">
      <c r="A8" s="106"/>
      <c r="B8" s="104"/>
      <c r="C8" s="104"/>
      <c r="D8" s="104"/>
      <c r="E8" s="104"/>
      <c r="F8" s="105"/>
      <c r="G8" s="106"/>
      <c r="H8" s="107"/>
      <c r="I8" s="108"/>
      <c r="J8" s="108"/>
      <c r="K8" s="103"/>
      <c r="L8" s="103"/>
      <c r="M8" s="103"/>
      <c r="N8" s="76"/>
      <c r="O8" s="188"/>
    </row>
    <row r="9" spans="1:227" ht="50.1" customHeight="1">
      <c r="A9" s="554" t="s">
        <v>200</v>
      </c>
      <c r="B9" s="1587" t="s">
        <v>189</v>
      </c>
      <c r="C9" s="1589"/>
      <c r="D9" s="1587" t="s">
        <v>87</v>
      </c>
      <c r="E9" s="1588"/>
      <c r="F9" s="1588"/>
      <c r="G9" s="1589"/>
      <c r="H9" s="554" t="s">
        <v>106</v>
      </c>
      <c r="I9" s="555" t="s">
        <v>133</v>
      </c>
      <c r="J9" s="555" t="s">
        <v>433</v>
      </c>
      <c r="K9" s="1598" t="s">
        <v>236</v>
      </c>
      <c r="L9" s="1599"/>
      <c r="M9" s="1599"/>
      <c r="N9" s="1600"/>
      <c r="O9" s="188"/>
      <c r="P9" s="1442" t="s">
        <v>246</v>
      </c>
      <c r="Q9" s="1442"/>
      <c r="R9" s="23" t="str">
        <f>'Модульные ограждения GL'!D39</f>
        <v>84*48*2500</v>
      </c>
      <c r="S9" s="1382">
        <f>'Модульные ограждения GL'!E39</f>
        <v>154</v>
      </c>
      <c r="T9" s="24">
        <f>'Модульные ограждения GL'!F39</f>
        <v>3.3</v>
      </c>
      <c r="U9" s="1342" t="s">
        <v>321</v>
      </c>
      <c r="V9" s="1523">
        <f>'Модульные ограждения GL'!H39</f>
        <v>1</v>
      </c>
      <c r="W9" s="140">
        <f>'Модульные ограждения GL'!I39</f>
        <v>545</v>
      </c>
      <c r="X9" s="119"/>
    </row>
    <row r="10" spans="1:227" ht="75" customHeight="1">
      <c r="A10" s="1675"/>
      <c r="B10" s="1637" t="s">
        <v>89</v>
      </c>
      <c r="C10" s="1637" t="s">
        <v>48</v>
      </c>
      <c r="D10" s="1646" t="s">
        <v>511</v>
      </c>
      <c r="E10" s="1647"/>
      <c r="F10" s="1647"/>
      <c r="G10" s="1648"/>
      <c r="H10" s="357" t="s">
        <v>88</v>
      </c>
      <c r="I10" s="1673" t="s">
        <v>625</v>
      </c>
      <c r="J10" s="1675" t="s">
        <v>626</v>
      </c>
      <c r="K10" s="1628">
        <f>ROUND(((W10+W11+W12+W14+W21*2)/2.5)*(1-$B$64),2)</f>
        <v>1034</v>
      </c>
      <c r="L10" s="1629"/>
      <c r="M10" s="1629"/>
      <c r="N10" s="1630"/>
      <c r="O10" s="188"/>
      <c r="P10" s="1442"/>
      <c r="Q10" s="1442"/>
      <c r="R10" s="25" t="str">
        <f>'Модульные ограждения GL'!D40</f>
        <v xml:space="preserve">84*48*3000 </v>
      </c>
      <c r="S10" s="1384"/>
      <c r="T10" s="26">
        <f>'Модульные ограждения GL'!F40</f>
        <v>3.96</v>
      </c>
      <c r="U10" s="1342"/>
      <c r="V10" s="1523">
        <f>'Модульные ограждения GL'!H40</f>
        <v>0</v>
      </c>
      <c r="W10" s="141">
        <f>'Модульные ограждения GL'!I40</f>
        <v>655</v>
      </c>
      <c r="X10" s="119"/>
    </row>
    <row r="11" spans="1:227" ht="75" customHeight="1">
      <c r="A11" s="1677"/>
      <c r="B11" s="1638"/>
      <c r="C11" s="1639"/>
      <c r="D11" s="1649"/>
      <c r="E11" s="1650"/>
      <c r="F11" s="1650"/>
      <c r="G11" s="1651"/>
      <c r="H11" s="358" t="s">
        <v>46</v>
      </c>
      <c r="I11" s="1674"/>
      <c r="J11" s="1676"/>
      <c r="K11" s="1634">
        <f>ROUND(((W10+W11+W12+W16+W21*2)/2.5)*(1-$B$64),2)</f>
        <v>1254.4000000000001</v>
      </c>
      <c r="L11" s="1635"/>
      <c r="M11" s="1635"/>
      <c r="N11" s="1636"/>
      <c r="O11" s="188"/>
      <c r="P11" s="1442" t="s">
        <v>230</v>
      </c>
      <c r="Q11" s="1442"/>
      <c r="R11" s="10" t="str">
        <f>'Модульные ограждения GL'!D37</f>
        <v xml:space="preserve">60*20*2500 </v>
      </c>
      <c r="S11" s="10">
        <f>'Модульные ограждения GL'!E37</f>
        <v>162</v>
      </c>
      <c r="T11" s="29">
        <f>'Модульные ограждения GL'!F37</f>
        <v>3.3</v>
      </c>
      <c r="U11" s="29" t="s">
        <v>321</v>
      </c>
      <c r="V11" s="22">
        <f>'Модульные ограждения GL'!H37</f>
        <v>1</v>
      </c>
      <c r="W11" s="139">
        <f>'Модульные ограждения GL'!I37</f>
        <v>545</v>
      </c>
      <c r="X11" s="119"/>
    </row>
    <row r="12" spans="1:227" ht="45" customHeight="1">
      <c r="A12" s="1677"/>
      <c r="B12" s="1638"/>
      <c r="C12" s="1678" t="s">
        <v>40</v>
      </c>
      <c r="D12" s="1646" t="s">
        <v>49</v>
      </c>
      <c r="E12" s="1647"/>
      <c r="F12" s="1647"/>
      <c r="G12" s="1648"/>
      <c r="H12" s="357" t="s">
        <v>88</v>
      </c>
      <c r="I12" s="1673" t="s">
        <v>209</v>
      </c>
      <c r="J12" s="1675" t="s">
        <v>624</v>
      </c>
      <c r="K12" s="1628">
        <f>ROUND(((W13+W19+W35+W18+(W21*2))/2.5)*(1-$B$64),2)</f>
        <v>913.04</v>
      </c>
      <c r="L12" s="1629"/>
      <c r="M12" s="1629"/>
      <c r="N12" s="1630"/>
      <c r="O12" s="188"/>
      <c r="P12" s="1557" t="s">
        <v>253</v>
      </c>
      <c r="Q12" s="1558"/>
      <c r="R12" s="10" t="str">
        <f>'Модульные ограждения GL'!D44</f>
        <v>100*87*20</v>
      </c>
      <c r="S12" s="10">
        <f>'Модульные ограждения GL'!E44</f>
        <v>80</v>
      </c>
      <c r="T12" s="29">
        <f>'Модульные ограждения GL'!F44</f>
        <v>0.02</v>
      </c>
      <c r="U12" s="29" t="s">
        <v>320</v>
      </c>
      <c r="V12" s="22">
        <f>'Модульные ограждения GL'!H44</f>
        <v>0.5</v>
      </c>
      <c r="W12" s="139">
        <f>'Модульные ограждения GL'!I44</f>
        <v>39</v>
      </c>
      <c r="X12" s="119"/>
    </row>
    <row r="13" spans="1:227" ht="45" customHeight="1">
      <c r="A13" s="1676"/>
      <c r="B13" s="1639"/>
      <c r="C13" s="1679"/>
      <c r="D13" s="1649"/>
      <c r="E13" s="1650"/>
      <c r="F13" s="1650"/>
      <c r="G13" s="1651"/>
      <c r="H13" s="358" t="s">
        <v>46</v>
      </c>
      <c r="I13" s="1674"/>
      <c r="J13" s="1676"/>
      <c r="K13" s="1634">
        <f>ROUND(((W15+W19+W20+W18+(W21*2))/2.5)*(1-$B$64),2)</f>
        <v>1109.3599999999999</v>
      </c>
      <c r="L13" s="1635"/>
      <c r="M13" s="1635"/>
      <c r="N13" s="1636"/>
      <c r="O13" s="188"/>
      <c r="P13" s="1442" t="s">
        <v>88</v>
      </c>
      <c r="Q13" s="1442"/>
      <c r="R13" s="202" t="str">
        <f>'Панельные ограждения GL (стр.1)'!B7</f>
        <v>0,63 х 2,5</v>
      </c>
      <c r="S13" s="164"/>
      <c r="T13" s="165"/>
      <c r="U13" s="165"/>
      <c r="V13" s="166"/>
      <c r="W13" s="262">
        <f>'Панельные ограждения GL (стр.1)'!H7</f>
        <v>838</v>
      </c>
      <c r="X13" s="119"/>
    </row>
    <row r="14" spans="1:227" ht="15" customHeight="1">
      <c r="A14" s="72"/>
      <c r="B14" s="70"/>
      <c r="C14" s="70"/>
      <c r="D14" s="70"/>
      <c r="E14" s="70"/>
      <c r="F14" s="71"/>
      <c r="G14" s="72"/>
      <c r="H14" s="73"/>
      <c r="I14" s="73"/>
      <c r="J14" s="74"/>
      <c r="K14" s="74"/>
      <c r="L14" s="74"/>
      <c r="M14" s="74"/>
      <c r="N14" s="73"/>
      <c r="O14" s="188"/>
      <c r="P14" s="1442"/>
      <c r="Q14" s="1442"/>
      <c r="R14" s="202" t="str">
        <f>'Панельные ограждения GL (стр.1)'!B9</f>
        <v>1,03 х 2,5</v>
      </c>
      <c r="S14" s="164"/>
      <c r="T14" s="165"/>
      <c r="U14" s="165"/>
      <c r="V14" s="166"/>
      <c r="W14" s="262">
        <f>'Панельные ограждения GL (стр.1)'!H9</f>
        <v>1158</v>
      </c>
      <c r="X14" s="119"/>
    </row>
    <row r="15" spans="1:227" ht="75" customHeight="1">
      <c r="A15" s="556" t="s">
        <v>200</v>
      </c>
      <c r="B15" s="1587" t="s">
        <v>189</v>
      </c>
      <c r="C15" s="1588"/>
      <c r="D15" s="1589"/>
      <c r="E15" s="556" t="s">
        <v>5</v>
      </c>
      <c r="F15" s="556" t="s">
        <v>643</v>
      </c>
      <c r="G15" s="556" t="s">
        <v>121</v>
      </c>
      <c r="H15" s="556" t="s">
        <v>122</v>
      </c>
      <c r="I15" s="1642" t="s">
        <v>82</v>
      </c>
      <c r="J15" s="1643"/>
      <c r="K15" s="1598" t="s">
        <v>127</v>
      </c>
      <c r="L15" s="1599"/>
      <c r="M15" s="1599"/>
      <c r="N15" s="1600"/>
      <c r="O15" s="188"/>
      <c r="P15" s="1442" t="s">
        <v>430</v>
      </c>
      <c r="Q15" s="1442"/>
      <c r="R15" s="669" t="str">
        <f>'Панельные ограждения GL (стр.1)'!B24</f>
        <v>0,63 х 2,5</v>
      </c>
      <c r="S15" s="164"/>
      <c r="T15" s="165"/>
      <c r="U15" s="165"/>
      <c r="V15" s="166"/>
      <c r="W15" s="262">
        <f>'Панельные ограждения GL (стр.1)'!H24</f>
        <v>1247</v>
      </c>
      <c r="X15" s="119"/>
    </row>
    <row r="16" spans="1:227" ht="35.1" customHeight="1">
      <c r="A16" s="364"/>
      <c r="B16" s="1680" t="s">
        <v>431</v>
      </c>
      <c r="C16" s="1681"/>
      <c r="D16" s="338" t="s">
        <v>387</v>
      </c>
      <c r="E16" s="1686" t="s">
        <v>6</v>
      </c>
      <c r="F16" s="341">
        <v>3</v>
      </c>
      <c r="G16" s="342" t="s">
        <v>131</v>
      </c>
      <c r="H16" s="341" t="s">
        <v>132</v>
      </c>
      <c r="I16" s="1640">
        <v>73</v>
      </c>
      <c r="J16" s="1641"/>
      <c r="K16" s="1601">
        <f>ROUND(15600*(1-$B$64),2)</f>
        <v>15600</v>
      </c>
      <c r="L16" s="1602"/>
      <c r="M16" s="1602"/>
      <c r="N16" s="1603"/>
      <c r="O16" s="188"/>
      <c r="P16" s="1442"/>
      <c r="Q16" s="1442"/>
      <c r="R16" s="669" t="str">
        <f>'Панельные ограждения GL (стр.1)'!B26</f>
        <v>1,03 х 2,5</v>
      </c>
      <c r="S16" s="167"/>
      <c r="T16" s="167"/>
      <c r="U16" s="167"/>
      <c r="V16" s="167"/>
      <c r="W16" s="262">
        <f>'Панельные ограждения GL (стр.1)'!H26</f>
        <v>1709</v>
      </c>
      <c r="X16" s="119"/>
    </row>
    <row r="17" spans="1:25" ht="35.1" customHeight="1">
      <c r="A17" s="681"/>
      <c r="B17" s="1682"/>
      <c r="C17" s="1683"/>
      <c r="D17" s="1637" t="s">
        <v>637</v>
      </c>
      <c r="E17" s="1687"/>
      <c r="F17" s="341">
        <v>2.1</v>
      </c>
      <c r="G17" s="342" t="s">
        <v>125</v>
      </c>
      <c r="H17" s="341" t="s">
        <v>128</v>
      </c>
      <c r="I17" s="682"/>
      <c r="J17" s="683"/>
      <c r="K17" s="1601">
        <f>ROUND(3800*(1-$B$64),2)</f>
        <v>3800</v>
      </c>
      <c r="L17" s="1602"/>
      <c r="M17" s="1602"/>
      <c r="N17" s="1603"/>
      <c r="O17" s="188"/>
      <c r="P17" s="679"/>
      <c r="Q17" s="679"/>
      <c r="R17" s="680"/>
      <c r="S17" s="167"/>
      <c r="T17" s="167"/>
      <c r="U17" s="167"/>
      <c r="V17" s="167"/>
      <c r="W17" s="262"/>
      <c r="X17" s="119"/>
    </row>
    <row r="18" spans="1:25" ht="35.1" customHeight="1">
      <c r="A18" s="364"/>
      <c r="B18" s="1682"/>
      <c r="C18" s="1683"/>
      <c r="D18" s="1638"/>
      <c r="E18" s="1687"/>
      <c r="F18" s="341">
        <v>2.1</v>
      </c>
      <c r="G18" s="342" t="s">
        <v>129</v>
      </c>
      <c r="H18" s="341" t="s">
        <v>128</v>
      </c>
      <c r="I18" s="1640"/>
      <c r="J18" s="1641"/>
      <c r="K18" s="1601">
        <f>ROUND(5290*(1-$B$64),2)</f>
        <v>5290</v>
      </c>
      <c r="L18" s="1602"/>
      <c r="M18" s="1602"/>
      <c r="N18" s="1603"/>
      <c r="O18" s="188"/>
      <c r="P18" s="1442" t="s">
        <v>70</v>
      </c>
      <c r="Q18" s="1442"/>
      <c r="R18" s="669" t="s">
        <v>71</v>
      </c>
      <c r="S18" s="669">
        <f>'Эл-ты панельных ограждений - 1'!H26</f>
        <v>0</v>
      </c>
      <c r="T18" s="668">
        <f>'Эл-ты панельных ограждений - 1'!G26</f>
        <v>2.71</v>
      </c>
      <c r="U18" s="165"/>
      <c r="V18" s="166"/>
      <c r="W18" s="262">
        <f>'Эл-ты панельных ограждений - 1'!I27</f>
        <v>525</v>
      </c>
      <c r="X18" s="119"/>
      <c r="Y18" s="120"/>
    </row>
    <row r="19" spans="1:25" ht="35.1" customHeight="1">
      <c r="A19" s="364"/>
      <c r="B19" s="1682"/>
      <c r="C19" s="1683"/>
      <c r="D19" s="1638"/>
      <c r="E19" s="1687"/>
      <c r="F19" s="341">
        <v>2.1</v>
      </c>
      <c r="G19" s="342" t="s">
        <v>130</v>
      </c>
      <c r="H19" s="341" t="s">
        <v>128</v>
      </c>
      <c r="I19" s="1640">
        <v>28</v>
      </c>
      <c r="J19" s="1641"/>
      <c r="K19" s="1604">
        <f>ROUND(6260*(1-$B$64),2)</f>
        <v>6260</v>
      </c>
      <c r="L19" s="1605"/>
      <c r="M19" s="1605"/>
      <c r="N19" s="1606"/>
      <c r="O19" s="188"/>
      <c r="P19" s="1442" t="s">
        <v>69</v>
      </c>
      <c r="Q19" s="1442"/>
      <c r="R19" s="669" t="str">
        <f>'Модульные ограждения GL'!D25</f>
        <v xml:space="preserve">40*20*2500  </v>
      </c>
      <c r="S19" s="669">
        <f>'Модульные ограждения GL'!E25</f>
        <v>180</v>
      </c>
      <c r="T19" s="668">
        <f>'Модульные ограждения GL'!F25</f>
        <v>2.4500000000000002</v>
      </c>
      <c r="U19" s="165"/>
      <c r="V19" s="166"/>
      <c r="W19" s="262">
        <f>'Модульные ограждения GL'!I25</f>
        <v>470</v>
      </c>
      <c r="X19" s="119"/>
      <c r="Y19" s="120"/>
    </row>
    <row r="20" spans="1:25" ht="35.1" customHeight="1">
      <c r="A20" s="364"/>
      <c r="B20" s="1684"/>
      <c r="C20" s="1685"/>
      <c r="D20" s="1639"/>
      <c r="E20" s="1688"/>
      <c r="F20" s="339">
        <v>2.1</v>
      </c>
      <c r="G20" s="340" t="s">
        <v>131</v>
      </c>
      <c r="H20" s="339" t="s">
        <v>128</v>
      </c>
      <c r="I20" s="1644">
        <v>31.2</v>
      </c>
      <c r="J20" s="1645"/>
      <c r="K20" s="1607">
        <f>ROUND(6900*(1-$B$64),2)</f>
        <v>6900</v>
      </c>
      <c r="L20" s="1608"/>
      <c r="M20" s="1608"/>
      <c r="N20" s="1609"/>
      <c r="O20" s="188"/>
      <c r="P20" s="1442" t="s">
        <v>73</v>
      </c>
      <c r="Q20" s="1442"/>
      <c r="R20" s="1442"/>
      <c r="S20" s="1442"/>
      <c r="T20" s="1442"/>
      <c r="U20" s="1442"/>
      <c r="V20" s="1442"/>
      <c r="W20" s="262">
        <f>(W15+W19)*0.2</f>
        <v>343.40000000000003</v>
      </c>
      <c r="X20" s="119"/>
      <c r="Y20" s="120"/>
    </row>
    <row r="21" spans="1:25" ht="75" customHeight="1">
      <c r="A21" s="343"/>
      <c r="B21" s="1667" t="s">
        <v>338</v>
      </c>
      <c r="C21" s="1668"/>
      <c r="D21" s="1669"/>
      <c r="E21" s="344" t="s">
        <v>100</v>
      </c>
      <c r="F21" s="1670" t="s">
        <v>100</v>
      </c>
      <c r="G21" s="1671"/>
      <c r="H21" s="1672"/>
      <c r="I21" s="1665" t="s">
        <v>100</v>
      </c>
      <c r="J21" s="1666"/>
      <c r="K21" s="1613">
        <f>ROUND(22*(1-$B$64),2)</f>
        <v>22</v>
      </c>
      <c r="L21" s="1614"/>
      <c r="M21" s="1614"/>
      <c r="N21" s="1615"/>
      <c r="O21" s="188"/>
      <c r="P21" s="1597" t="s">
        <v>301</v>
      </c>
      <c r="Q21" s="1597"/>
      <c r="R21" s="665" t="s">
        <v>100</v>
      </c>
      <c r="S21" s="666"/>
      <c r="T21" s="144">
        <f>'Эл-ты панельных ограждений - 1'!G53</f>
        <v>0.08</v>
      </c>
      <c r="U21" s="664">
        <f>'Эл-ты панельных ограждений - 1'!H53</f>
        <v>100</v>
      </c>
      <c r="V21" s="664">
        <f>'Эл-ты панельных ограждений - 1'!I53</f>
        <v>94</v>
      </c>
      <c r="W21" s="151">
        <f>'Эл-ты панельных ограждений - 1'!J53</f>
        <v>94</v>
      </c>
      <c r="X21" s="119"/>
      <c r="Y21" s="120"/>
    </row>
    <row r="22" spans="1:25" ht="15" customHeight="1">
      <c r="A22" s="90"/>
      <c r="B22" s="90"/>
      <c r="C22" s="90"/>
      <c r="D22" s="90"/>
      <c r="E22" s="90"/>
      <c r="F22" s="90"/>
      <c r="G22" s="90"/>
      <c r="H22" s="90"/>
      <c r="I22" s="90"/>
      <c r="J22" s="91"/>
      <c r="K22" s="72"/>
      <c r="L22" s="72"/>
      <c r="M22" s="72"/>
      <c r="N22" s="98"/>
      <c r="O22" s="188"/>
      <c r="P22" s="1597" t="s">
        <v>67</v>
      </c>
      <c r="Q22" s="1597"/>
      <c r="R22" s="167"/>
      <c r="S22" s="167"/>
      <c r="T22" s="144">
        <f>'Эл-ты панельных ограждений - 1'!G50</f>
        <v>0.05</v>
      </c>
      <c r="U22" s="144">
        <v>0.05</v>
      </c>
      <c r="V22" s="144"/>
      <c r="W22" s="151">
        <f>'Эл-ты панельных ограждений - 1'!J50</f>
        <v>54</v>
      </c>
      <c r="X22" s="119"/>
      <c r="Y22" s="120"/>
    </row>
    <row r="23" spans="1:25" ht="50.1" customHeight="1">
      <c r="A23" s="556" t="s">
        <v>200</v>
      </c>
      <c r="B23" s="1587" t="s">
        <v>189</v>
      </c>
      <c r="C23" s="1588"/>
      <c r="D23" s="1588"/>
      <c r="E23" s="1589"/>
      <c r="F23" s="1587" t="s">
        <v>133</v>
      </c>
      <c r="G23" s="1589"/>
      <c r="H23" s="556" t="s">
        <v>134</v>
      </c>
      <c r="I23" s="1642" t="s">
        <v>213</v>
      </c>
      <c r="J23" s="1643"/>
      <c r="K23" s="1598" t="s">
        <v>127</v>
      </c>
      <c r="L23" s="1599"/>
      <c r="M23" s="1599"/>
      <c r="N23" s="1600"/>
      <c r="O23" s="188"/>
      <c r="P23" s="1442" t="s">
        <v>78</v>
      </c>
      <c r="Q23" s="1442"/>
      <c r="R23" s="669" t="s">
        <v>103</v>
      </c>
      <c r="S23" s="669">
        <v>96</v>
      </c>
      <c r="T23" s="668">
        <v>2.64</v>
      </c>
      <c r="U23" s="666" t="s">
        <v>322</v>
      </c>
      <c r="V23" s="667">
        <v>1.4</v>
      </c>
      <c r="W23" s="262">
        <f>'Эл-ты панельных ограждений - 1'!I4</f>
        <v>338</v>
      </c>
      <c r="X23" s="119"/>
      <c r="Y23" s="120"/>
    </row>
    <row r="24" spans="1:25" ht="69.95" customHeight="1">
      <c r="A24" s="1689"/>
      <c r="B24" s="1696" t="s">
        <v>424</v>
      </c>
      <c r="C24" s="1698" t="s">
        <v>636</v>
      </c>
      <c r="D24" s="1698"/>
      <c r="E24" s="1698"/>
      <c r="F24" s="1726" t="s">
        <v>9</v>
      </c>
      <c r="G24" s="1727"/>
      <c r="H24" s="345">
        <v>7</v>
      </c>
      <c r="I24" s="1724">
        <v>70</v>
      </c>
      <c r="J24" s="1725"/>
      <c r="K24" s="1618">
        <f>ROUND((M25*2+M24),0)</f>
        <v>2391</v>
      </c>
      <c r="L24" s="1619"/>
      <c r="M24" s="1616">
        <f>ROUND(O24*(1-$B$64),2)</f>
        <v>1457</v>
      </c>
      <c r="N24" s="1617"/>
      <c r="O24" s="189">
        <v>1457</v>
      </c>
      <c r="P24" s="1442"/>
      <c r="Q24" s="1442"/>
      <c r="R24" s="669"/>
      <c r="S24" s="669"/>
      <c r="T24" s="668"/>
      <c r="U24" s="668" t="s">
        <v>320</v>
      </c>
      <c r="V24" s="667"/>
      <c r="W24" s="262">
        <f>'Эл-ты панельных ограждений - 1'!I26</f>
        <v>450</v>
      </c>
      <c r="X24" s="119"/>
      <c r="Y24" s="120"/>
    </row>
    <row r="25" spans="1:25" ht="60" customHeight="1">
      <c r="A25" s="1690"/>
      <c r="B25" s="1697"/>
      <c r="C25" s="1698" t="s">
        <v>7</v>
      </c>
      <c r="D25" s="1698"/>
      <c r="E25" s="1698"/>
      <c r="F25" s="1726" t="s">
        <v>8</v>
      </c>
      <c r="G25" s="1727"/>
      <c r="H25" s="345">
        <v>3.2</v>
      </c>
      <c r="I25" s="1724">
        <v>140</v>
      </c>
      <c r="J25" s="1725"/>
      <c r="K25" s="1620"/>
      <c r="L25" s="1621"/>
      <c r="M25" s="1616">
        <f>ROUND(O25*(1-$B$64),2)</f>
        <v>467</v>
      </c>
      <c r="N25" s="1617"/>
      <c r="O25" s="189">
        <v>467</v>
      </c>
      <c r="P25" s="1442"/>
      <c r="Q25" s="1442"/>
      <c r="R25" s="669"/>
      <c r="S25" s="669"/>
      <c r="T25" s="668"/>
      <c r="U25" s="668"/>
      <c r="V25" s="667"/>
      <c r="W25" s="262"/>
      <c r="X25" s="119"/>
      <c r="Y25" s="120"/>
    </row>
    <row r="26" spans="1:25" ht="60" customHeight="1">
      <c r="A26" s="1675"/>
      <c r="B26" s="1699" t="s">
        <v>86</v>
      </c>
      <c r="C26" s="1694"/>
      <c r="D26" s="1694"/>
      <c r="E26" s="1695"/>
      <c r="F26" s="1700" t="s">
        <v>135</v>
      </c>
      <c r="G26" s="1701"/>
      <c r="H26" s="346">
        <v>23</v>
      </c>
      <c r="I26" s="1704">
        <v>40</v>
      </c>
      <c r="J26" s="1705"/>
      <c r="K26" s="1610">
        <f>ROUND(O26*(1-$B$64),2)</f>
        <v>665</v>
      </c>
      <c r="L26" s="1611"/>
      <c r="M26" s="1611"/>
      <c r="N26" s="1612"/>
      <c r="O26" s="189">
        <v>665</v>
      </c>
      <c r="P26" s="1442"/>
      <c r="Q26" s="1442"/>
      <c r="R26" s="669" t="s">
        <v>38</v>
      </c>
      <c r="S26" s="669"/>
      <c r="T26" s="668"/>
      <c r="U26" s="668" t="s">
        <v>320</v>
      </c>
      <c r="V26" s="667"/>
      <c r="W26" s="262">
        <f>'Эл-ты панельных ограждений - 1'!I29</f>
        <v>655</v>
      </c>
      <c r="X26" s="119"/>
      <c r="Y26" s="120"/>
    </row>
    <row r="27" spans="1:25" ht="60" customHeight="1">
      <c r="A27" s="1676"/>
      <c r="B27" s="1699" t="s">
        <v>627</v>
      </c>
      <c r="C27" s="1694"/>
      <c r="D27" s="1694"/>
      <c r="E27" s="1695"/>
      <c r="F27" s="1702"/>
      <c r="G27" s="1703"/>
      <c r="H27" s="346">
        <v>40</v>
      </c>
      <c r="I27" s="1704">
        <v>36</v>
      </c>
      <c r="J27" s="1705"/>
      <c r="K27" s="1610">
        <f>ROUND(O27*(1-$B$64),2)</f>
        <v>765</v>
      </c>
      <c r="L27" s="1611"/>
      <c r="M27" s="1611"/>
      <c r="N27" s="1612"/>
      <c r="O27" s="189">
        <v>765</v>
      </c>
      <c r="P27" s="1442"/>
      <c r="Q27" s="1442"/>
      <c r="R27" s="669" t="s">
        <v>204</v>
      </c>
      <c r="S27" s="669"/>
      <c r="T27" s="668">
        <v>5.28</v>
      </c>
      <c r="U27" s="666" t="s">
        <v>322</v>
      </c>
      <c r="V27" s="667"/>
      <c r="W27" s="262">
        <f>'Модульные ограждения GL'!I27</f>
        <v>592</v>
      </c>
      <c r="X27" s="119"/>
      <c r="Y27" s="120"/>
    </row>
    <row r="28" spans="1:25" ht="60" customHeight="1">
      <c r="A28" s="347"/>
      <c r="B28" s="1568" t="s">
        <v>313</v>
      </c>
      <c r="C28" s="1569"/>
      <c r="D28" s="1569"/>
      <c r="E28" s="1570"/>
      <c r="F28" s="1713" t="s">
        <v>312</v>
      </c>
      <c r="G28" s="1714"/>
      <c r="H28" s="346" t="s">
        <v>100</v>
      </c>
      <c r="I28" s="1704" t="s">
        <v>100</v>
      </c>
      <c r="J28" s="1705"/>
      <c r="K28" s="1610">
        <f>ROUND(O28*(1-$B$64),2)</f>
        <v>70</v>
      </c>
      <c r="L28" s="1611"/>
      <c r="M28" s="1611"/>
      <c r="N28" s="1612"/>
      <c r="O28" s="189">
        <v>70</v>
      </c>
      <c r="P28" s="1442"/>
      <c r="Q28" s="1442"/>
      <c r="R28" s="669"/>
      <c r="S28" s="669"/>
      <c r="T28" s="668"/>
      <c r="U28" s="666"/>
      <c r="V28" s="667"/>
      <c r="W28" s="262"/>
      <c r="X28" s="119"/>
      <c r="Y28" s="120"/>
    </row>
    <row r="29" spans="1:25" ht="15" customHeight="1">
      <c r="A29" s="93"/>
      <c r="B29" s="92"/>
      <c r="C29" s="100"/>
      <c r="D29" s="100"/>
      <c r="E29" s="100"/>
      <c r="F29" s="100"/>
      <c r="G29" s="100"/>
      <c r="H29" s="101"/>
      <c r="I29" s="101"/>
      <c r="J29" s="71"/>
      <c r="K29" s="72"/>
      <c r="L29" s="73"/>
      <c r="M29" s="102"/>
      <c r="N29" s="76"/>
      <c r="O29" s="188"/>
      <c r="P29" s="1442"/>
      <c r="Q29" s="1442"/>
      <c r="R29" s="669"/>
      <c r="S29" s="669"/>
      <c r="T29" s="668"/>
      <c r="U29" s="668" t="s">
        <v>320</v>
      </c>
      <c r="V29" s="667"/>
      <c r="W29" s="262">
        <f>'Модульные ограждения GL'!I28</f>
        <v>845</v>
      </c>
    </row>
    <row r="30" spans="1:25" ht="24.95" customHeight="1">
      <c r="A30" s="1572" t="s">
        <v>200</v>
      </c>
      <c r="B30" s="1573"/>
      <c r="C30" s="1573"/>
      <c r="D30" s="1573"/>
      <c r="E30" s="1574"/>
      <c r="F30" s="1572" t="s">
        <v>117</v>
      </c>
      <c r="G30" s="1574"/>
      <c r="H30" s="1581" t="s">
        <v>429</v>
      </c>
      <c r="I30" s="1581" t="s">
        <v>45</v>
      </c>
      <c r="J30" s="1584" t="s">
        <v>213</v>
      </c>
      <c r="K30" s="1587" t="s">
        <v>208</v>
      </c>
      <c r="L30" s="1588"/>
      <c r="M30" s="1588"/>
      <c r="N30" s="1589"/>
      <c r="O30" s="188"/>
      <c r="P30" s="1442"/>
      <c r="Q30" s="1442"/>
      <c r="R30" s="672"/>
      <c r="S30" s="672"/>
      <c r="T30" s="670"/>
      <c r="U30" s="670"/>
      <c r="V30" s="671"/>
      <c r="W30" s="262"/>
    </row>
    <row r="31" spans="1:25" ht="65.099999999999994" customHeight="1">
      <c r="A31" s="1575"/>
      <c r="B31" s="1576"/>
      <c r="C31" s="1576"/>
      <c r="D31" s="1576"/>
      <c r="E31" s="1577"/>
      <c r="F31" s="1575"/>
      <c r="G31" s="1577"/>
      <c r="H31" s="1582"/>
      <c r="I31" s="1582"/>
      <c r="J31" s="1585"/>
      <c r="K31" s="1590" t="s">
        <v>432</v>
      </c>
      <c r="L31" s="1591"/>
      <c r="M31" s="557" t="s">
        <v>327</v>
      </c>
      <c r="N31" s="1584" t="s">
        <v>47</v>
      </c>
      <c r="O31" s="188"/>
      <c r="P31" s="1442"/>
      <c r="Q31" s="1442"/>
      <c r="R31" s="669"/>
      <c r="S31" s="669"/>
      <c r="T31" s="668"/>
      <c r="U31" s="668"/>
      <c r="V31" s="667"/>
      <c r="W31" s="262"/>
    </row>
    <row r="32" spans="1:25" ht="65.099999999999994" customHeight="1">
      <c r="A32" s="1578"/>
      <c r="B32" s="1579"/>
      <c r="C32" s="1579"/>
      <c r="D32" s="1579"/>
      <c r="E32" s="1580"/>
      <c r="F32" s="1578"/>
      <c r="G32" s="1580"/>
      <c r="H32" s="1583"/>
      <c r="I32" s="1583"/>
      <c r="J32" s="1586"/>
      <c r="K32" s="557" t="s">
        <v>325</v>
      </c>
      <c r="L32" s="558" t="s">
        <v>326</v>
      </c>
      <c r="M32" s="557" t="s">
        <v>325</v>
      </c>
      <c r="N32" s="1586"/>
      <c r="O32" s="188"/>
      <c r="P32" s="1442"/>
      <c r="Q32" s="1442"/>
      <c r="R32" s="669" t="s">
        <v>39</v>
      </c>
      <c r="S32" s="669"/>
      <c r="T32" s="668">
        <v>6.6</v>
      </c>
      <c r="U32" s="666" t="s">
        <v>320</v>
      </c>
      <c r="V32" s="667"/>
      <c r="W32" s="262">
        <f>'Модульные ограждения GL'!I30</f>
        <v>1020</v>
      </c>
    </row>
    <row r="33" spans="1:23" ht="50.1" customHeight="1">
      <c r="A33" s="715"/>
      <c r="B33" s="715"/>
      <c r="C33" s="715"/>
      <c r="D33" s="715"/>
      <c r="E33" s="716"/>
      <c r="F33" s="1709" t="s">
        <v>328</v>
      </c>
      <c r="G33" s="1710"/>
      <c r="H33" s="363" t="s">
        <v>661</v>
      </c>
      <c r="I33" s="311" t="s">
        <v>42</v>
      </c>
      <c r="J33" s="1675">
        <v>10</v>
      </c>
      <c r="K33" s="362" t="s">
        <v>100</v>
      </c>
      <c r="L33" s="362" t="s">
        <v>100</v>
      </c>
      <c r="M33" s="365">
        <f>ROUND(Q36*(1-$C$64),2)</f>
        <v>78</v>
      </c>
      <c r="N33" s="349">
        <v>172</v>
      </c>
      <c r="O33" s="189"/>
      <c r="P33" s="1442"/>
      <c r="Q33" s="1442"/>
      <c r="R33" s="669" t="s">
        <v>68</v>
      </c>
      <c r="S33" s="669"/>
      <c r="T33" s="165">
        <v>6.7</v>
      </c>
      <c r="U33" s="668" t="s">
        <v>320</v>
      </c>
      <c r="V33" s="667"/>
      <c r="W33" s="262">
        <f>'Модульные ограждения GL'!I32</f>
        <v>1225</v>
      </c>
    </row>
    <row r="34" spans="1:23" ht="50.1" customHeight="1">
      <c r="A34" s="94"/>
      <c r="B34" s="94"/>
      <c r="C34" s="94"/>
      <c r="D34" s="94"/>
      <c r="E34" s="359"/>
      <c r="F34" s="1709" t="s">
        <v>644</v>
      </c>
      <c r="G34" s="1710"/>
      <c r="H34" s="348" t="s">
        <v>660</v>
      </c>
      <c r="I34" s="337" t="s">
        <v>42</v>
      </c>
      <c r="J34" s="1677"/>
      <c r="K34" s="336" t="s">
        <v>100</v>
      </c>
      <c r="L34" s="336" t="s">
        <v>100</v>
      </c>
      <c r="M34" s="365">
        <f>ROUND(Q37*(1-$C$64),2)</f>
        <v>80</v>
      </c>
      <c r="N34" s="349">
        <v>276</v>
      </c>
      <c r="O34" s="189"/>
      <c r="P34" s="1442" t="s">
        <v>258</v>
      </c>
      <c r="Q34" s="1442"/>
      <c r="R34" s="669" t="str">
        <f>'Модульные ограждения GL'!D46</f>
        <v>60*20*110</v>
      </c>
      <c r="S34" s="669">
        <f>'Модульные ограждения GL'!E46</f>
        <v>100</v>
      </c>
      <c r="T34" s="668">
        <f>'Модульные ограждения GL'!F46</f>
        <v>0.13700000000000001</v>
      </c>
      <c r="U34" s="666" t="s">
        <v>322</v>
      </c>
      <c r="V34" s="201">
        <f>'Модульные ограждения GL'!H46</f>
        <v>1.4</v>
      </c>
      <c r="W34" s="202">
        <f>'Модульные ограждения GL'!I46</f>
        <v>50</v>
      </c>
    </row>
    <row r="35" spans="1:23" ht="50.1" customHeight="1">
      <c r="A35" s="94"/>
      <c r="B35" s="94"/>
      <c r="C35" s="94"/>
      <c r="D35" s="94"/>
      <c r="E35" s="359"/>
      <c r="F35" s="1595" t="s">
        <v>329</v>
      </c>
      <c r="G35" s="1596"/>
      <c r="H35" s="348">
        <v>1.8</v>
      </c>
      <c r="I35" s="311" t="s">
        <v>43</v>
      </c>
      <c r="J35" s="1677"/>
      <c r="K35" s="350" t="s">
        <v>100</v>
      </c>
      <c r="L35" s="351" t="s">
        <v>100</v>
      </c>
      <c r="M35" s="365">
        <f>ROUND(Q38*(1-$C$64),2)</f>
        <v>108</v>
      </c>
      <c r="N35" s="351" t="s">
        <v>100</v>
      </c>
      <c r="O35" s="189"/>
      <c r="P35" s="1442" t="s">
        <v>72</v>
      </c>
      <c r="Q35" s="1442"/>
      <c r="R35" s="1442"/>
      <c r="S35" s="1442"/>
      <c r="T35" s="1442"/>
      <c r="U35" s="1442"/>
      <c r="V35" s="1442"/>
      <c r="W35" s="262">
        <f>(W13+W19)*0.2</f>
        <v>261.60000000000002</v>
      </c>
    </row>
    <row r="36" spans="1:23" ht="50.1" customHeight="1">
      <c r="A36" s="94"/>
      <c r="B36" s="94"/>
      <c r="C36" s="94"/>
      <c r="D36" s="94"/>
      <c r="E36" s="359"/>
      <c r="F36" s="1595" t="s">
        <v>658</v>
      </c>
      <c r="G36" s="1596"/>
      <c r="H36" s="348" t="s">
        <v>640</v>
      </c>
      <c r="I36" s="337" t="s">
        <v>42</v>
      </c>
      <c r="J36" s="1677"/>
      <c r="K36" s="714">
        <f t="shared" ref="K36:L40" si="0">ROUND(O37*(1-$G$64),2)</f>
        <v>69</v>
      </c>
      <c r="L36" s="351">
        <f t="shared" si="0"/>
        <v>72</v>
      </c>
      <c r="M36" s="351" t="s">
        <v>100</v>
      </c>
      <c r="N36" s="349" t="s">
        <v>100</v>
      </c>
      <c r="O36" s="366"/>
      <c r="P36" s="366"/>
      <c r="Q36" s="366">
        <v>78</v>
      </c>
      <c r="R36" s="366"/>
    </row>
    <row r="37" spans="1:23" ht="75" customHeight="1">
      <c r="A37" s="94"/>
      <c r="B37" s="94"/>
      <c r="C37" s="94"/>
      <c r="D37" s="94"/>
      <c r="E37" s="359"/>
      <c r="F37" s="1592" t="s">
        <v>425</v>
      </c>
      <c r="G37" s="1594"/>
      <c r="H37" s="348" t="s">
        <v>641</v>
      </c>
      <c r="I37" s="352" t="s">
        <v>659</v>
      </c>
      <c r="J37" s="1677"/>
      <c r="K37" s="350">
        <f t="shared" si="0"/>
        <v>84</v>
      </c>
      <c r="L37" s="351">
        <f t="shared" si="0"/>
        <v>87</v>
      </c>
      <c r="M37" s="365" t="s">
        <v>100</v>
      </c>
      <c r="N37" s="349" t="s">
        <v>100</v>
      </c>
      <c r="O37" s="189">
        <v>69</v>
      </c>
      <c r="P37" s="366">
        <v>72</v>
      </c>
      <c r="Q37" s="366">
        <v>80</v>
      </c>
      <c r="R37" s="366">
        <v>116</v>
      </c>
    </row>
    <row r="38" spans="1:23" ht="75" customHeight="1">
      <c r="A38" s="94"/>
      <c r="B38" s="94"/>
      <c r="C38" s="94"/>
      <c r="D38" s="94"/>
      <c r="E38" s="359"/>
      <c r="F38" s="1592" t="s">
        <v>330</v>
      </c>
      <c r="G38" s="1594"/>
      <c r="H38" s="348" t="s">
        <v>641</v>
      </c>
      <c r="I38" s="337" t="s">
        <v>42</v>
      </c>
      <c r="J38" s="1677"/>
      <c r="K38" s="351">
        <f t="shared" si="0"/>
        <v>86</v>
      </c>
      <c r="L38" s="351">
        <f t="shared" si="0"/>
        <v>89</v>
      </c>
      <c r="M38" s="365" t="s">
        <v>100</v>
      </c>
      <c r="N38" s="349" t="s">
        <v>100</v>
      </c>
      <c r="O38" s="189">
        <v>84</v>
      </c>
      <c r="P38" s="366">
        <v>87</v>
      </c>
      <c r="Q38" s="366">
        <v>108</v>
      </c>
      <c r="R38" s="366"/>
    </row>
    <row r="39" spans="1:23" ht="50.1" customHeight="1">
      <c r="A39" s="94"/>
      <c r="B39" s="94"/>
      <c r="C39" s="94"/>
      <c r="D39" s="94"/>
      <c r="E39" s="359"/>
      <c r="F39" s="1592" t="s">
        <v>331</v>
      </c>
      <c r="G39" s="1594"/>
      <c r="H39" s="348" t="s">
        <v>641</v>
      </c>
      <c r="I39" s="311" t="s">
        <v>43</v>
      </c>
      <c r="J39" s="1677"/>
      <c r="K39" s="351">
        <f t="shared" si="0"/>
        <v>185</v>
      </c>
      <c r="L39" s="351">
        <f t="shared" si="0"/>
        <v>188</v>
      </c>
      <c r="M39" s="365" t="s">
        <v>100</v>
      </c>
      <c r="N39" s="349" t="s">
        <v>100</v>
      </c>
      <c r="O39" s="189">
        <v>86</v>
      </c>
      <c r="P39" s="366">
        <v>89</v>
      </c>
      <c r="Q39" s="366"/>
      <c r="R39" s="366"/>
    </row>
    <row r="40" spans="1:23" ht="50.1" customHeight="1">
      <c r="A40" s="360"/>
      <c r="B40" s="360"/>
      <c r="C40" s="360"/>
      <c r="D40" s="360"/>
      <c r="E40" s="361"/>
      <c r="F40" s="1592" t="s">
        <v>645</v>
      </c>
      <c r="G40" s="1594"/>
      <c r="H40" s="348" t="s">
        <v>641</v>
      </c>
      <c r="I40" s="352" t="s">
        <v>44</v>
      </c>
      <c r="J40" s="1676"/>
      <c r="K40" s="351">
        <f t="shared" si="0"/>
        <v>114</v>
      </c>
      <c r="L40" s="351">
        <f t="shared" si="0"/>
        <v>117</v>
      </c>
      <c r="M40" s="365" t="s">
        <v>100</v>
      </c>
      <c r="N40" s="349" t="s">
        <v>100</v>
      </c>
      <c r="O40" s="189">
        <v>185</v>
      </c>
      <c r="P40" s="366">
        <v>188</v>
      </c>
      <c r="Q40" s="366"/>
      <c r="R40" s="366"/>
    </row>
    <row r="41" spans="1:23" ht="50.1" customHeight="1">
      <c r="A41" s="1693" t="s">
        <v>388</v>
      </c>
      <c r="B41" s="1694"/>
      <c r="C41" s="1694"/>
      <c r="D41" s="1694"/>
      <c r="E41" s="1694"/>
      <c r="F41" s="1694"/>
      <c r="G41" s="1694"/>
      <c r="H41" s="1695"/>
      <c r="I41" s="353" t="s">
        <v>36</v>
      </c>
      <c r="J41" s="337">
        <v>250</v>
      </c>
      <c r="K41" s="1592">
        <f>ROUND(O42*(1-$M$64),2)</f>
        <v>4</v>
      </c>
      <c r="L41" s="1593"/>
      <c r="M41" s="1593"/>
      <c r="N41" s="1594"/>
      <c r="O41" s="189">
        <v>114</v>
      </c>
      <c r="P41" s="366">
        <v>117</v>
      </c>
      <c r="Q41" s="366"/>
      <c r="R41" s="366"/>
    </row>
    <row r="42" spans="1:23" ht="50.1" customHeight="1">
      <c r="A42" s="712" t="s">
        <v>16</v>
      </c>
      <c r="B42" s="712"/>
      <c r="C42" s="712"/>
      <c r="D42" s="712"/>
      <c r="E42" s="712"/>
      <c r="F42" s="712"/>
      <c r="G42" s="712"/>
      <c r="H42" s="712"/>
      <c r="I42" s="712"/>
      <c r="J42" s="712"/>
      <c r="K42" s="712"/>
      <c r="L42" s="712"/>
      <c r="M42" s="712"/>
      <c r="N42" s="712"/>
      <c r="O42" s="189">
        <v>4</v>
      </c>
      <c r="Q42" s="366"/>
      <c r="R42" s="366"/>
    </row>
    <row r="43" spans="1:23" ht="20.100000000000001" customHeight="1">
      <c r="A43" s="33"/>
      <c r="B43" s="713"/>
      <c r="C43" s="713"/>
      <c r="D43" s="713"/>
      <c r="E43" s="713"/>
      <c r="F43" s="76"/>
      <c r="G43" s="76"/>
      <c r="H43" s="76"/>
      <c r="I43" s="33"/>
      <c r="J43" s="102"/>
      <c r="K43" s="102"/>
      <c r="L43" s="102"/>
      <c r="M43" s="354"/>
      <c r="N43" s="355"/>
    </row>
    <row r="44" spans="1:23" ht="20.100000000000001" customHeight="1">
      <c r="A44" s="33" t="s">
        <v>666</v>
      </c>
      <c r="B44" s="70"/>
      <c r="C44" s="70"/>
      <c r="D44" s="70"/>
      <c r="E44" s="70"/>
      <c r="F44" s="99"/>
      <c r="G44" s="99"/>
      <c r="H44" s="94"/>
      <c r="I44" s="76"/>
      <c r="J44" s="102"/>
      <c r="K44" s="102"/>
      <c r="L44" s="102"/>
      <c r="M44" s="354"/>
      <c r="N44" s="355"/>
    </row>
    <row r="45" spans="1:23" ht="19.5" customHeight="1">
      <c r="A45" s="33" t="s">
        <v>667</v>
      </c>
      <c r="B45" s="588"/>
      <c r="C45" s="588"/>
      <c r="D45" s="588"/>
      <c r="E45" s="588"/>
      <c r="F45" s="99"/>
      <c r="G45" s="99"/>
      <c r="H45" s="94"/>
      <c r="I45" s="76"/>
      <c r="J45" s="102"/>
      <c r="K45" s="102"/>
      <c r="L45" s="102"/>
      <c r="M45" s="354"/>
      <c r="N45" s="355"/>
    </row>
    <row r="46" spans="1:23" ht="19.5" customHeight="1">
      <c r="A46" s="33" t="s">
        <v>662</v>
      </c>
      <c r="B46" s="717"/>
      <c r="C46" s="717"/>
      <c r="D46" s="717"/>
      <c r="E46" s="717"/>
      <c r="F46" s="99"/>
      <c r="G46" s="99"/>
      <c r="H46" s="94"/>
      <c r="I46" s="76"/>
      <c r="J46" s="102"/>
      <c r="K46" s="102"/>
      <c r="L46" s="102"/>
      <c r="M46" s="354"/>
      <c r="N46" s="355"/>
    </row>
    <row r="47" spans="1:23" ht="20.100000000000001" customHeight="1">
      <c r="A47" s="33"/>
      <c r="B47" s="70"/>
      <c r="C47" s="70"/>
      <c r="D47" s="70"/>
      <c r="E47" s="70"/>
      <c r="F47" s="99"/>
      <c r="G47" s="99"/>
      <c r="H47" s="94"/>
      <c r="I47" s="76"/>
      <c r="J47" s="102"/>
      <c r="K47" s="102"/>
      <c r="L47" s="102"/>
      <c r="M47" s="354"/>
      <c r="N47" s="355"/>
      <c r="P47" s="95"/>
    </row>
    <row r="48" spans="1:23" ht="20.100000000000001" customHeight="1">
      <c r="A48" s="33" t="s">
        <v>663</v>
      </c>
      <c r="B48" s="70"/>
      <c r="C48" s="70"/>
      <c r="D48" s="70"/>
      <c r="E48" s="70"/>
      <c r="F48" s="99"/>
      <c r="G48" s="99"/>
      <c r="H48" s="94"/>
      <c r="I48" s="76"/>
      <c r="J48" s="102"/>
      <c r="K48" s="102"/>
      <c r="L48" s="102"/>
      <c r="M48" s="354"/>
      <c r="N48" s="355"/>
      <c r="P48" s="95"/>
    </row>
    <row r="49" spans="1:16" ht="20.100000000000001" customHeight="1">
      <c r="A49" s="33" t="s">
        <v>664</v>
      </c>
      <c r="B49" s="70"/>
      <c r="C49" s="70"/>
      <c r="D49" s="70"/>
      <c r="E49" s="70"/>
      <c r="F49" s="99"/>
      <c r="G49" s="99"/>
      <c r="H49" s="94"/>
      <c r="I49" s="76"/>
      <c r="J49" s="102"/>
      <c r="K49" s="102"/>
      <c r="L49" s="102"/>
      <c r="M49" s="354"/>
      <c r="N49" s="355"/>
      <c r="P49" s="95"/>
    </row>
    <row r="50" spans="1:16" ht="20.100000000000001" customHeight="1">
      <c r="A50" s="33" t="s">
        <v>665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P50" s="95"/>
    </row>
    <row r="51" spans="1:16" ht="20.100000000000001" customHeight="1">
      <c r="A51" s="33"/>
      <c r="B51" s="70"/>
      <c r="C51" s="70"/>
      <c r="D51" s="70"/>
      <c r="E51" s="70"/>
      <c r="F51" s="99"/>
      <c r="G51" s="99"/>
      <c r="H51" s="94"/>
      <c r="I51" s="76"/>
      <c r="J51" s="102"/>
      <c r="K51" s="102"/>
      <c r="L51" s="102"/>
      <c r="M51" s="354"/>
      <c r="N51" s="355"/>
      <c r="P51" s="95"/>
    </row>
    <row r="52" spans="1:16" ht="20.100000000000001" customHeight="1">
      <c r="A52" s="36" t="s">
        <v>386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192"/>
      <c r="P52" s="95"/>
    </row>
    <row r="53" spans="1:16" ht="20.100000000000001" customHeight="1">
      <c r="A53" s="356" t="s">
        <v>385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192"/>
      <c r="P53" s="95"/>
    </row>
    <row r="54" spans="1:16" ht="20.100000000000001" customHeight="1">
      <c r="A54" s="76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192"/>
      <c r="P54" s="95"/>
    </row>
    <row r="55" spans="1:16" ht="20.100000000000001" customHeight="1">
      <c r="A55" s="36" t="s">
        <v>423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192"/>
    </row>
    <row r="56" spans="1:16" ht="20.100000000000001" customHeight="1">
      <c r="A56" s="36" t="s">
        <v>15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193"/>
      <c r="P56" s="95"/>
    </row>
    <row r="57" spans="1:16" ht="20.100000000000001" customHeight="1">
      <c r="A57" s="36" t="s">
        <v>305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193"/>
      <c r="P57" s="96"/>
    </row>
    <row r="58" spans="1:16" ht="20.100000000000001" customHeight="1">
      <c r="A58" s="36" t="s">
        <v>304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192"/>
      <c r="P58" s="96"/>
    </row>
    <row r="59" spans="1:16" ht="20.100000000000001" customHeight="1">
      <c r="A59" s="36" t="s">
        <v>303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192"/>
      <c r="P59" s="96"/>
    </row>
    <row r="60" spans="1:16" ht="21">
      <c r="A60" s="36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192"/>
      <c r="P60" s="96"/>
    </row>
    <row r="61" spans="1:16" ht="2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192"/>
      <c r="P61" s="96"/>
    </row>
    <row r="62" spans="1:16" ht="13.5" customHeight="1">
      <c r="A62" s="39"/>
      <c r="B62" s="76"/>
      <c r="C62" s="76"/>
      <c r="D62" s="76"/>
      <c r="E62" s="76"/>
      <c r="G62" s="89"/>
      <c r="H62" s="89"/>
      <c r="I62" s="89"/>
      <c r="J62" s="76"/>
      <c r="K62" s="76"/>
      <c r="L62" s="76"/>
      <c r="M62" s="76"/>
      <c r="N62" s="76"/>
      <c r="O62" s="192"/>
      <c r="P62" s="96"/>
    </row>
    <row r="63" spans="1:16" ht="18.75" hidden="1" customHeight="1">
      <c r="A63" s="1691" t="s">
        <v>115</v>
      </c>
      <c r="B63" s="312" t="s">
        <v>182</v>
      </c>
      <c r="C63" s="1706" t="s">
        <v>336</v>
      </c>
      <c r="D63" s="1707"/>
      <c r="E63" s="1707"/>
      <c r="F63" s="1707"/>
      <c r="G63" s="1706" t="s">
        <v>337</v>
      </c>
      <c r="H63" s="1707"/>
      <c r="I63" s="1708"/>
      <c r="J63" s="1706" t="s">
        <v>126</v>
      </c>
      <c r="K63" s="1707"/>
      <c r="L63" s="1708"/>
      <c r="M63" s="1564" t="s">
        <v>194</v>
      </c>
      <c r="N63" s="1565"/>
      <c r="O63" s="97"/>
      <c r="P63" s="97"/>
    </row>
    <row r="64" spans="1:16" ht="60" hidden="1" customHeight="1">
      <c r="A64" s="1692"/>
      <c r="B64" s="314">
        <v>0</v>
      </c>
      <c r="C64" s="1566">
        <v>0</v>
      </c>
      <c r="D64" s="1571"/>
      <c r="E64" s="1571"/>
      <c r="F64" s="1567"/>
      <c r="G64" s="1566">
        <v>0</v>
      </c>
      <c r="H64" s="1571"/>
      <c r="I64" s="1567"/>
      <c r="J64" s="1566">
        <v>0</v>
      </c>
      <c r="K64" s="1571"/>
      <c r="L64" s="1567"/>
      <c r="M64" s="1566">
        <v>0</v>
      </c>
      <c r="N64" s="1567"/>
      <c r="O64" s="97"/>
      <c r="P64" s="97"/>
    </row>
    <row r="65" spans="16:16" ht="24.95" customHeight="1">
      <c r="P65" s="97"/>
    </row>
    <row r="66" spans="16:16" ht="57" customHeight="1"/>
    <row r="67" spans="16:16" ht="46.5" customHeight="1"/>
    <row r="68" spans="16:16" ht="20.25" customHeight="1">
      <c r="P68" s="76"/>
    </row>
    <row r="69" spans="16:16" ht="21">
      <c r="P69" s="76"/>
    </row>
    <row r="89" spans="1:14" ht="15.75">
      <c r="A89" s="313"/>
      <c r="B89" s="313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</row>
    <row r="90" spans="1:14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</row>
  </sheetData>
  <mergeCells count="124">
    <mergeCell ref="E1:J2"/>
    <mergeCell ref="F28:G28"/>
    <mergeCell ref="B26:E26"/>
    <mergeCell ref="I26:J26"/>
    <mergeCell ref="I28:J28"/>
    <mergeCell ref="B3:E4"/>
    <mergeCell ref="B5:E7"/>
    <mergeCell ref="I25:J25"/>
    <mergeCell ref="I24:J24"/>
    <mergeCell ref="F25:G25"/>
    <mergeCell ref="F24:G24"/>
    <mergeCell ref="M25:N25"/>
    <mergeCell ref="P34:Q34"/>
    <mergeCell ref="P35:V35"/>
    <mergeCell ref="A24:A25"/>
    <mergeCell ref="A63:A64"/>
    <mergeCell ref="A41:H41"/>
    <mergeCell ref="B24:B25"/>
    <mergeCell ref="C24:E24"/>
    <mergeCell ref="C25:E25"/>
    <mergeCell ref="K26:N26"/>
    <mergeCell ref="K28:N28"/>
    <mergeCell ref="A26:A27"/>
    <mergeCell ref="B27:E27"/>
    <mergeCell ref="F26:G27"/>
    <mergeCell ref="I27:J27"/>
    <mergeCell ref="C63:F63"/>
    <mergeCell ref="C64:F64"/>
    <mergeCell ref="G63:I63"/>
    <mergeCell ref="J63:L63"/>
    <mergeCell ref="J64:L64"/>
    <mergeCell ref="F36:G36"/>
    <mergeCell ref="J33:J40"/>
    <mergeCell ref="F33:G33"/>
    <mergeCell ref="F34:G34"/>
    <mergeCell ref="A3:A4"/>
    <mergeCell ref="I6:J6"/>
    <mergeCell ref="H3:H4"/>
    <mergeCell ref="I5:J5"/>
    <mergeCell ref="I7:J7"/>
    <mergeCell ref="A5:A7"/>
    <mergeCell ref="F3:F4"/>
    <mergeCell ref="I3:J4"/>
    <mergeCell ref="B23:E23"/>
    <mergeCell ref="F23:G23"/>
    <mergeCell ref="I23:J23"/>
    <mergeCell ref="I21:J21"/>
    <mergeCell ref="B21:D21"/>
    <mergeCell ref="F21:H21"/>
    <mergeCell ref="G3:G4"/>
    <mergeCell ref="I10:I11"/>
    <mergeCell ref="J10:J11"/>
    <mergeCell ref="I12:I13"/>
    <mergeCell ref="J12:J13"/>
    <mergeCell ref="A10:A13"/>
    <mergeCell ref="C12:C13"/>
    <mergeCell ref="B16:C20"/>
    <mergeCell ref="E16:E20"/>
    <mergeCell ref="K3:N3"/>
    <mergeCell ref="K4:N4"/>
    <mergeCell ref="K5:N5"/>
    <mergeCell ref="K6:N6"/>
    <mergeCell ref="K7:N7"/>
    <mergeCell ref="K10:N10"/>
    <mergeCell ref="D17:D20"/>
    <mergeCell ref="K17:N17"/>
    <mergeCell ref="B9:C9"/>
    <mergeCell ref="D9:G9"/>
    <mergeCell ref="I19:J19"/>
    <mergeCell ref="I18:J18"/>
    <mergeCell ref="B15:D15"/>
    <mergeCell ref="I15:J15"/>
    <mergeCell ref="I20:J20"/>
    <mergeCell ref="I16:J16"/>
    <mergeCell ref="B10:B13"/>
    <mergeCell ref="K11:N11"/>
    <mergeCell ref="K12:N12"/>
    <mergeCell ref="K13:N13"/>
    <mergeCell ref="K15:N15"/>
    <mergeCell ref="D12:G13"/>
    <mergeCell ref="D10:G11"/>
    <mergeCell ref="C10:C11"/>
    <mergeCell ref="S9:S10"/>
    <mergeCell ref="P13:Q14"/>
    <mergeCell ref="P18:Q18"/>
    <mergeCell ref="P20:V20"/>
    <mergeCell ref="P21:Q21"/>
    <mergeCell ref="P22:Q22"/>
    <mergeCell ref="P23:Q33"/>
    <mergeCell ref="K9:N9"/>
    <mergeCell ref="K18:N18"/>
    <mergeCell ref="K19:N19"/>
    <mergeCell ref="K20:N20"/>
    <mergeCell ref="P15:Q16"/>
    <mergeCell ref="V9:V10"/>
    <mergeCell ref="P19:Q19"/>
    <mergeCell ref="K16:N16"/>
    <mergeCell ref="P12:Q12"/>
    <mergeCell ref="P9:Q10"/>
    <mergeCell ref="P11:Q11"/>
    <mergeCell ref="U9:U10"/>
    <mergeCell ref="K27:N27"/>
    <mergeCell ref="K21:N21"/>
    <mergeCell ref="K23:N23"/>
    <mergeCell ref="M24:N24"/>
    <mergeCell ref="K24:L25"/>
    <mergeCell ref="M63:N63"/>
    <mergeCell ref="M64:N64"/>
    <mergeCell ref="B28:E28"/>
    <mergeCell ref="G64:I64"/>
    <mergeCell ref="A30:E32"/>
    <mergeCell ref="F30:G32"/>
    <mergeCell ref="H30:H32"/>
    <mergeCell ref="I30:I32"/>
    <mergeCell ref="J30:J32"/>
    <mergeCell ref="K30:N30"/>
    <mergeCell ref="K31:L31"/>
    <mergeCell ref="N31:N32"/>
    <mergeCell ref="K41:N41"/>
    <mergeCell ref="F35:G35"/>
    <mergeCell ref="F37:G37"/>
    <mergeCell ref="F38:G38"/>
    <mergeCell ref="F39:G39"/>
    <mergeCell ref="F40:G40"/>
  </mergeCells>
  <phoneticPr fontId="24" type="noConversion"/>
  <printOptions horizontalCentered="1"/>
  <pageMargins left="0.15748031496062992" right="0" top="0" bottom="0" header="3.937007874015748E-2" footer="0.11811023622047245"/>
  <pageSetup paperSize="9" scale="34" orientation="portrait" r:id="rId1"/>
  <headerFooter scaleWithDoc="0">
    <oddFooter>&amp;R&amp;"Arial Cyr,полужирный"&amp;8стр. &amp;P из &amp;N &amp;"Arial Cyr,обычный"&amp;A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13</vt:i4>
      </vt:variant>
    </vt:vector>
  </HeadingPairs>
  <TitlesOfParts>
    <vt:vector size="24" baseType="lpstr">
      <vt:lpstr>Панельные ограждения Optima</vt:lpstr>
      <vt:lpstr>Панельные ограждения GL (стр.1)</vt:lpstr>
      <vt:lpstr>Панельные ограждения GL (стр.2)</vt:lpstr>
      <vt:lpstr>Эл-ты панельных ограждений - 1</vt:lpstr>
      <vt:lpstr>Эл-ты панельных ограждений - 2</vt:lpstr>
      <vt:lpstr>Распашные ворота и калитки</vt:lpstr>
      <vt:lpstr>Откатные ворота</vt:lpstr>
      <vt:lpstr>Модульные ограждения GL</vt:lpstr>
      <vt:lpstr>Времен.огражд.+Рулон+Штакетник</vt:lpstr>
      <vt:lpstr>Шлагбаумы</vt:lpstr>
      <vt:lpstr>Locinox</vt:lpstr>
      <vt:lpstr>'Времен.огражд.+Рулон+Штакетник'!Print_Area</vt:lpstr>
      <vt:lpstr>'Распашные ворота и калитки'!Print_Area</vt:lpstr>
      <vt:lpstr>Locinox!Область_печати</vt:lpstr>
      <vt:lpstr>'Времен.огражд.+Рулон+Штакетник'!Область_печати</vt:lpstr>
      <vt:lpstr>'Модульные ограждения GL'!Область_печати</vt:lpstr>
      <vt:lpstr>'Откатные ворота'!Область_печати</vt:lpstr>
      <vt:lpstr>'Панельные ограждения GL (стр.1)'!Область_печати</vt:lpstr>
      <vt:lpstr>'Панельные ограждения GL (стр.2)'!Область_печати</vt:lpstr>
      <vt:lpstr>'Панельные ограждения Optima'!Область_печати</vt:lpstr>
      <vt:lpstr>'Распашные ворота и калитки'!Область_печати</vt:lpstr>
      <vt:lpstr>Шлагбаумы!Область_печати</vt:lpstr>
      <vt:lpstr>'Эл-ты панельных ограждений - 1'!Область_печати</vt:lpstr>
      <vt:lpstr>'Эл-ты панельных ограждений - 2'!Область_печати</vt:lpstr>
    </vt:vector>
  </TitlesOfParts>
  <Company>МСУЦ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Grand Line</dc:creator>
  <cp:keywords>Grand Line Ограждения</cp:keywords>
  <cp:lastModifiedBy>Samsung</cp:lastModifiedBy>
  <cp:lastPrinted>2017-07-06T08:01:37Z</cp:lastPrinted>
  <dcterms:created xsi:type="dcterms:W3CDTF">2012-07-09T12:54:34Z</dcterms:created>
  <dcterms:modified xsi:type="dcterms:W3CDTF">2018-03-16T08:03:23Z</dcterms:modified>
</cp:coreProperties>
</file>